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9545" windowHeight="6180"/>
  </bookViews>
  <sheets>
    <sheet name="i" sheetId="1" r:id="rId1"/>
    <sheet name="EFp" sheetId="3" r:id="rId2"/>
    <sheet name="EFz" sheetId="4" r:id="rId3"/>
    <sheet name="STT" sheetId="5" r:id="rId4"/>
    <sheet name="CZ.V" sheetId="7" r:id="rId5"/>
    <sheet name="LNOP" sheetId="18" r:id="rId6"/>
    <sheet name="645" sheetId="14" r:id="rId7"/>
    <sheet name="XF" sheetId="21" r:id="rId8"/>
    <sheet name="all.p" sheetId="25" r:id="rId9"/>
    <sheet name="all.z" sheetId="24" r:id="rId10"/>
    <sheet name="compare" sheetId="26" r:id="rId11"/>
  </sheets>
  <definedNames>
    <definedName name="CA.US">i!$A$60</definedName>
    <definedName name="_xlnm.Print_Titles" localSheetId="6">'645'!$1:$5</definedName>
    <definedName name="_xlnm.Print_Titles" localSheetId="10">compare!$1:$5</definedName>
    <definedName name="_xlnm.Print_Titles" localSheetId="4">CZ.V!$1:$5</definedName>
    <definedName name="_xlnm.Print_Titles" localSheetId="1">EFp!$1:$5</definedName>
    <definedName name="_xlnm.Print_Titles" localSheetId="2">EFz!$1:$5</definedName>
    <definedName name="_xlnm.Print_Titles" localSheetId="0">i!$1:$3</definedName>
    <definedName name="_xlnm.Print_Titles" localSheetId="5">LNOP!$1:$5</definedName>
    <definedName name="_xlnm.Print_Titles" localSheetId="3">STT!$1:$5</definedName>
    <definedName name="_xlnm.Print_Titles" localSheetId="7">XF!$1:$5</definedName>
  </definedNames>
  <calcPr calcId="145621"/>
</workbook>
</file>

<file path=xl/calcChain.xml><?xml version="1.0" encoding="utf-8"?>
<calcChain xmlns="http://schemas.openxmlformats.org/spreadsheetml/2006/main">
  <c r="E49" i="21" l="1"/>
  <c r="E440" i="25" s="1"/>
  <c r="E48" i="21"/>
  <c r="E437" i="25" s="1"/>
  <c r="C420" i="25"/>
  <c r="D420" i="25"/>
  <c r="E420" i="25"/>
  <c r="F420" i="25"/>
  <c r="G420" i="25"/>
  <c r="H420" i="25"/>
  <c r="I420" i="25"/>
  <c r="J420" i="25"/>
  <c r="K420" i="25"/>
  <c r="L420" i="25"/>
  <c r="M420" i="25"/>
  <c r="N420" i="25"/>
  <c r="O420" i="25"/>
  <c r="P420" i="25"/>
  <c r="Q420" i="25"/>
  <c r="R420" i="25"/>
  <c r="S420" i="25"/>
  <c r="T420" i="25"/>
  <c r="U420" i="25"/>
  <c r="C423" i="25"/>
  <c r="D423" i="25"/>
  <c r="E423" i="25"/>
  <c r="F423" i="25"/>
  <c r="G423" i="25"/>
  <c r="H423" i="25"/>
  <c r="I423" i="25"/>
  <c r="J423" i="25"/>
  <c r="K423" i="25"/>
  <c r="L423" i="25"/>
  <c r="M423" i="25"/>
  <c r="N423" i="25"/>
  <c r="O423" i="25"/>
  <c r="P423" i="25"/>
  <c r="Q423" i="25"/>
  <c r="R423" i="25"/>
  <c r="S423" i="25"/>
  <c r="T423" i="25"/>
  <c r="U423" i="25"/>
  <c r="C425" i="25"/>
  <c r="D425" i="25"/>
  <c r="E425" i="25"/>
  <c r="F425" i="25"/>
  <c r="G425" i="25"/>
  <c r="H425" i="25"/>
  <c r="I425" i="25"/>
  <c r="J425" i="25"/>
  <c r="K425" i="25"/>
  <c r="L425" i="25"/>
  <c r="M425" i="25"/>
  <c r="N425" i="25"/>
  <c r="O425" i="25"/>
  <c r="P425" i="25"/>
  <c r="Q425" i="25"/>
  <c r="R425" i="25"/>
  <c r="S425" i="25"/>
  <c r="T425" i="25"/>
  <c r="U425" i="25"/>
  <c r="C428" i="25"/>
  <c r="D428" i="25"/>
  <c r="E428" i="25"/>
  <c r="F428" i="25"/>
  <c r="G428" i="25"/>
  <c r="H428" i="25"/>
  <c r="I428" i="25"/>
  <c r="J428" i="25"/>
  <c r="K428" i="25"/>
  <c r="L428" i="25"/>
  <c r="M428" i="25"/>
  <c r="N428" i="25"/>
  <c r="O428" i="25"/>
  <c r="P428" i="25"/>
  <c r="Q428" i="25"/>
  <c r="R428" i="25"/>
  <c r="S428" i="25"/>
  <c r="T428" i="25"/>
  <c r="U428" i="25"/>
  <c r="C429" i="25"/>
  <c r="D429" i="25"/>
  <c r="E429" i="25"/>
  <c r="F429" i="25"/>
  <c r="G429" i="25"/>
  <c r="H429" i="25"/>
  <c r="I429" i="25"/>
  <c r="J429" i="25"/>
  <c r="K429" i="25"/>
  <c r="L429" i="25"/>
  <c r="M429" i="25"/>
  <c r="N429" i="25"/>
  <c r="O429" i="25"/>
  <c r="P429" i="25"/>
  <c r="Q429" i="25"/>
  <c r="R429" i="25"/>
  <c r="S429" i="25"/>
  <c r="T429" i="25"/>
  <c r="U429" i="25"/>
  <c r="C433" i="25"/>
  <c r="D433" i="25"/>
  <c r="E433" i="25"/>
  <c r="F433" i="25"/>
  <c r="G433" i="25"/>
  <c r="H433" i="25"/>
  <c r="I433" i="25"/>
  <c r="J433" i="25"/>
  <c r="K433" i="25"/>
  <c r="L433" i="25"/>
  <c r="M433" i="25"/>
  <c r="N433" i="25"/>
  <c r="O433" i="25"/>
  <c r="P433" i="25"/>
  <c r="Q433" i="25"/>
  <c r="R433" i="25"/>
  <c r="S433" i="25"/>
  <c r="T433" i="25"/>
  <c r="U433" i="25"/>
  <c r="C434" i="25"/>
  <c r="D434" i="25"/>
  <c r="E434" i="25"/>
  <c r="F434" i="25"/>
  <c r="G434" i="25"/>
  <c r="H434" i="25"/>
  <c r="I434" i="25"/>
  <c r="J434" i="25"/>
  <c r="K434" i="25"/>
  <c r="L434" i="25"/>
  <c r="M434" i="25"/>
  <c r="N434" i="25"/>
  <c r="O434" i="25"/>
  <c r="P434" i="25"/>
  <c r="Q434" i="25"/>
  <c r="R434" i="25"/>
  <c r="S434" i="25"/>
  <c r="T434" i="25"/>
  <c r="U434" i="25"/>
  <c r="C450" i="25"/>
  <c r="D450" i="25"/>
  <c r="E450" i="25"/>
  <c r="F450" i="25"/>
  <c r="G450" i="25"/>
  <c r="H450" i="25"/>
  <c r="I450" i="25"/>
  <c r="J450" i="25"/>
  <c r="K450" i="25"/>
  <c r="L450" i="25"/>
  <c r="M450" i="25"/>
  <c r="N450" i="25"/>
  <c r="O450" i="25"/>
  <c r="P450" i="25"/>
  <c r="Q450" i="25"/>
  <c r="R450" i="25"/>
  <c r="S450" i="25"/>
  <c r="T450" i="25"/>
  <c r="U450" i="25"/>
  <c r="C451" i="25"/>
  <c r="D451" i="25"/>
  <c r="E451" i="25"/>
  <c r="F451" i="25"/>
  <c r="G451" i="25"/>
  <c r="H451" i="25"/>
  <c r="I451" i="25"/>
  <c r="J451" i="25"/>
  <c r="K451" i="25"/>
  <c r="L451" i="25"/>
  <c r="M451" i="25"/>
  <c r="N451" i="25"/>
  <c r="O451" i="25"/>
  <c r="P451" i="25"/>
  <c r="Q451" i="25"/>
  <c r="R451" i="25"/>
  <c r="S451" i="25"/>
  <c r="T451" i="25"/>
  <c r="U451" i="25"/>
  <c r="C452" i="25"/>
  <c r="D452" i="25"/>
  <c r="E452" i="25"/>
  <c r="F452" i="25"/>
  <c r="G452" i="25"/>
  <c r="H452" i="25"/>
  <c r="I452" i="25"/>
  <c r="J452" i="25"/>
  <c r="K452" i="25"/>
  <c r="L452" i="25"/>
  <c r="M452" i="25"/>
  <c r="N452" i="25"/>
  <c r="O452" i="25"/>
  <c r="P452" i="25"/>
  <c r="Q452" i="25"/>
  <c r="R452" i="25"/>
  <c r="S452" i="25"/>
  <c r="T452" i="25"/>
  <c r="U452" i="25"/>
  <c r="C456" i="25"/>
  <c r="D456" i="25"/>
  <c r="E456" i="25"/>
  <c r="F456" i="25"/>
  <c r="G456" i="25"/>
  <c r="H456" i="25"/>
  <c r="I456" i="25"/>
  <c r="J456" i="25"/>
  <c r="K456" i="25"/>
  <c r="L456" i="25"/>
  <c r="M456" i="25"/>
  <c r="N456" i="25"/>
  <c r="O456" i="25"/>
  <c r="P456" i="25"/>
  <c r="Q456" i="25"/>
  <c r="R456" i="25"/>
  <c r="S456" i="25"/>
  <c r="T456" i="25"/>
  <c r="U456" i="25"/>
  <c r="C416" i="25"/>
  <c r="D416" i="25"/>
  <c r="E416" i="25"/>
  <c r="F416" i="25"/>
  <c r="G416" i="25"/>
  <c r="H416" i="25"/>
  <c r="I416" i="25"/>
  <c r="J416" i="25"/>
  <c r="K416" i="25"/>
  <c r="L416" i="25"/>
  <c r="M416" i="25"/>
  <c r="N416" i="25"/>
  <c r="O416" i="25"/>
  <c r="P416" i="25"/>
  <c r="Q416" i="25"/>
  <c r="R416" i="25"/>
  <c r="S416" i="25"/>
  <c r="T416" i="25"/>
  <c r="U416" i="25"/>
  <c r="C432" i="25"/>
  <c r="D432" i="25"/>
  <c r="E432" i="25"/>
  <c r="F432" i="25"/>
  <c r="G432" i="25"/>
  <c r="H432" i="25"/>
  <c r="I432" i="25"/>
  <c r="J432" i="25"/>
  <c r="K432" i="25"/>
  <c r="L432" i="25"/>
  <c r="M432" i="25"/>
  <c r="N432" i="25"/>
  <c r="O432" i="25"/>
  <c r="P432" i="25"/>
  <c r="Q432" i="25"/>
  <c r="R432" i="25"/>
  <c r="S432" i="25"/>
  <c r="T432" i="25"/>
  <c r="U432" i="25"/>
  <c r="C441" i="25"/>
  <c r="D441" i="25"/>
  <c r="E441" i="25"/>
  <c r="F441" i="25"/>
  <c r="G441" i="25"/>
  <c r="H441" i="25"/>
  <c r="I441" i="25"/>
  <c r="J441" i="25"/>
  <c r="K441" i="25"/>
  <c r="L441" i="25"/>
  <c r="M441" i="25"/>
  <c r="N441" i="25"/>
  <c r="O441" i="25"/>
  <c r="P441" i="25"/>
  <c r="Q441" i="25"/>
  <c r="R441" i="25"/>
  <c r="S441" i="25"/>
  <c r="T441" i="25"/>
  <c r="U441" i="25"/>
  <c r="C415" i="25"/>
  <c r="D415" i="25"/>
  <c r="E415" i="25"/>
  <c r="F415" i="25"/>
  <c r="G415" i="25"/>
  <c r="H415" i="25"/>
  <c r="I415" i="25"/>
  <c r="J415" i="25"/>
  <c r="K415" i="25"/>
  <c r="L415" i="25"/>
  <c r="M415" i="25"/>
  <c r="N415" i="25"/>
  <c r="O415" i="25"/>
  <c r="P415" i="25"/>
  <c r="Q415" i="25"/>
  <c r="R415" i="25"/>
  <c r="S415" i="25"/>
  <c r="T415" i="25"/>
  <c r="U415" i="25"/>
  <c r="C417" i="25"/>
  <c r="D417" i="25"/>
  <c r="E417" i="25"/>
  <c r="F417" i="25"/>
  <c r="G417" i="25"/>
  <c r="H417" i="25"/>
  <c r="I417" i="25"/>
  <c r="J417" i="25"/>
  <c r="K417" i="25"/>
  <c r="L417" i="25"/>
  <c r="M417" i="25"/>
  <c r="N417" i="25"/>
  <c r="O417" i="25"/>
  <c r="P417" i="25"/>
  <c r="Q417" i="25"/>
  <c r="R417" i="25"/>
  <c r="S417" i="25"/>
  <c r="T417" i="25"/>
  <c r="U417" i="25"/>
  <c r="C424" i="25"/>
  <c r="D424" i="25"/>
  <c r="E424" i="25"/>
  <c r="F424" i="25"/>
  <c r="G424" i="25"/>
  <c r="H424" i="25"/>
  <c r="I424" i="25"/>
  <c r="J424" i="25"/>
  <c r="K424" i="25"/>
  <c r="L424" i="25"/>
  <c r="M424" i="25"/>
  <c r="N424" i="25"/>
  <c r="O424" i="25"/>
  <c r="P424" i="25"/>
  <c r="Q424" i="25"/>
  <c r="R424" i="25"/>
  <c r="S424" i="25"/>
  <c r="T424" i="25"/>
  <c r="U424" i="25"/>
  <c r="C418" i="25"/>
  <c r="D418" i="25"/>
  <c r="E418" i="25"/>
  <c r="F418" i="25"/>
  <c r="G418" i="25"/>
  <c r="H418" i="25"/>
  <c r="I418" i="25"/>
  <c r="J418" i="25"/>
  <c r="K418" i="25"/>
  <c r="L418" i="25"/>
  <c r="M418" i="25"/>
  <c r="N418" i="25"/>
  <c r="O418" i="25"/>
  <c r="P418" i="25"/>
  <c r="Q418" i="25"/>
  <c r="R418" i="25"/>
  <c r="S418" i="25"/>
  <c r="T418" i="25"/>
  <c r="U418" i="25"/>
  <c r="C419" i="25"/>
  <c r="D419" i="25"/>
  <c r="E419" i="25"/>
  <c r="F419" i="25"/>
  <c r="G419" i="25"/>
  <c r="H419" i="25"/>
  <c r="I419" i="25"/>
  <c r="J419" i="25"/>
  <c r="K419" i="25"/>
  <c r="L419" i="25"/>
  <c r="M419" i="25"/>
  <c r="N419" i="25"/>
  <c r="O419" i="25"/>
  <c r="P419" i="25"/>
  <c r="Q419" i="25"/>
  <c r="R419" i="25"/>
  <c r="S419" i="25"/>
  <c r="T419" i="25"/>
  <c r="U419" i="25"/>
  <c r="C421" i="25"/>
  <c r="D421" i="25"/>
  <c r="E421" i="25"/>
  <c r="F421" i="25"/>
  <c r="G421" i="25"/>
  <c r="H421" i="25"/>
  <c r="I421" i="25"/>
  <c r="J421" i="25"/>
  <c r="K421" i="25"/>
  <c r="L421" i="25"/>
  <c r="M421" i="25"/>
  <c r="N421" i="25"/>
  <c r="O421" i="25"/>
  <c r="P421" i="25"/>
  <c r="Q421" i="25"/>
  <c r="R421" i="25"/>
  <c r="S421" i="25"/>
  <c r="T421" i="25"/>
  <c r="U421" i="25"/>
  <c r="C422" i="25"/>
  <c r="D422" i="25"/>
  <c r="E422" i="25"/>
  <c r="F422" i="25"/>
  <c r="G422" i="25"/>
  <c r="H422" i="25"/>
  <c r="I422" i="25"/>
  <c r="J422" i="25"/>
  <c r="K422" i="25"/>
  <c r="L422" i="25"/>
  <c r="M422" i="25"/>
  <c r="N422" i="25"/>
  <c r="O422" i="25"/>
  <c r="P422" i="25"/>
  <c r="Q422" i="25"/>
  <c r="R422" i="25"/>
  <c r="S422" i="25"/>
  <c r="T422" i="25"/>
  <c r="U422" i="25"/>
  <c r="C427" i="25"/>
  <c r="D427" i="25"/>
  <c r="E427" i="25"/>
  <c r="F427" i="25"/>
  <c r="G427" i="25"/>
  <c r="H427" i="25"/>
  <c r="I427" i="25"/>
  <c r="J427" i="25"/>
  <c r="K427" i="25"/>
  <c r="L427" i="25"/>
  <c r="M427" i="25"/>
  <c r="N427" i="25"/>
  <c r="O427" i="25"/>
  <c r="P427" i="25"/>
  <c r="Q427" i="25"/>
  <c r="R427" i="25"/>
  <c r="S427" i="25"/>
  <c r="T427" i="25"/>
  <c r="U427" i="25"/>
  <c r="C430" i="25"/>
  <c r="D430" i="25"/>
  <c r="E430" i="25"/>
  <c r="F430" i="25"/>
  <c r="G430" i="25"/>
  <c r="H430" i="25"/>
  <c r="I430" i="25"/>
  <c r="J430" i="25"/>
  <c r="K430" i="25"/>
  <c r="L430" i="25"/>
  <c r="M430" i="25"/>
  <c r="N430" i="25"/>
  <c r="O430" i="25"/>
  <c r="P430" i="25"/>
  <c r="Q430" i="25"/>
  <c r="R430" i="25"/>
  <c r="S430" i="25"/>
  <c r="T430" i="25"/>
  <c r="U430" i="25"/>
  <c r="C431" i="25"/>
  <c r="D431" i="25"/>
  <c r="E431" i="25"/>
  <c r="F431" i="25"/>
  <c r="G431" i="25"/>
  <c r="H431" i="25"/>
  <c r="I431" i="25"/>
  <c r="J431" i="25"/>
  <c r="K431" i="25"/>
  <c r="L431" i="25"/>
  <c r="M431" i="25"/>
  <c r="N431" i="25"/>
  <c r="O431" i="25"/>
  <c r="P431" i="25"/>
  <c r="Q431" i="25"/>
  <c r="R431" i="25"/>
  <c r="S431" i="25"/>
  <c r="T431" i="25"/>
  <c r="U431" i="25"/>
  <c r="C435" i="25"/>
  <c r="D435" i="25"/>
  <c r="E435" i="25"/>
  <c r="F435" i="25"/>
  <c r="G435" i="25"/>
  <c r="H435" i="25"/>
  <c r="I435" i="25"/>
  <c r="J435" i="25"/>
  <c r="K435" i="25"/>
  <c r="L435" i="25"/>
  <c r="M435" i="25"/>
  <c r="N435" i="25"/>
  <c r="O435" i="25"/>
  <c r="P435" i="25"/>
  <c r="Q435" i="25"/>
  <c r="R435" i="25"/>
  <c r="S435" i="25"/>
  <c r="T435" i="25"/>
  <c r="U435" i="25"/>
  <c r="C436" i="25"/>
  <c r="D436" i="25"/>
  <c r="E436" i="25"/>
  <c r="F436" i="25"/>
  <c r="G436" i="25"/>
  <c r="H436" i="25"/>
  <c r="I436" i="25"/>
  <c r="J436" i="25"/>
  <c r="K436" i="25"/>
  <c r="L436" i="25"/>
  <c r="M436" i="25"/>
  <c r="N436" i="25"/>
  <c r="O436" i="25"/>
  <c r="P436" i="25"/>
  <c r="Q436" i="25"/>
  <c r="R436" i="25"/>
  <c r="S436" i="25"/>
  <c r="T436" i="25"/>
  <c r="U436" i="25"/>
  <c r="C437" i="25"/>
  <c r="D437" i="25"/>
  <c r="F437" i="25"/>
  <c r="G437" i="25"/>
  <c r="H437" i="25"/>
  <c r="I437" i="25"/>
  <c r="J437" i="25"/>
  <c r="K437" i="25"/>
  <c r="L437" i="25"/>
  <c r="M437" i="25"/>
  <c r="N437" i="25"/>
  <c r="O437" i="25"/>
  <c r="P437" i="25"/>
  <c r="Q437" i="25"/>
  <c r="R437" i="25"/>
  <c r="S437" i="25"/>
  <c r="T437" i="25"/>
  <c r="U437" i="25"/>
  <c r="C440" i="25"/>
  <c r="D440" i="25"/>
  <c r="F440" i="25"/>
  <c r="G440" i="25"/>
  <c r="H440" i="25"/>
  <c r="I440" i="25"/>
  <c r="J440" i="25"/>
  <c r="K440" i="25"/>
  <c r="L440" i="25"/>
  <c r="M440" i="25"/>
  <c r="N440" i="25"/>
  <c r="O440" i="25"/>
  <c r="P440" i="25"/>
  <c r="Q440" i="25"/>
  <c r="R440" i="25"/>
  <c r="S440" i="25"/>
  <c r="T440" i="25"/>
  <c r="U440" i="25"/>
  <c r="C442" i="25"/>
  <c r="D442" i="25"/>
  <c r="E442" i="25"/>
  <c r="F442" i="25"/>
  <c r="G442" i="25"/>
  <c r="H442" i="25"/>
  <c r="I442" i="25"/>
  <c r="J442" i="25"/>
  <c r="K442" i="25"/>
  <c r="L442" i="25"/>
  <c r="M442" i="25"/>
  <c r="N442" i="25"/>
  <c r="O442" i="25"/>
  <c r="P442" i="25"/>
  <c r="Q442" i="25"/>
  <c r="R442" i="25"/>
  <c r="S442" i="25"/>
  <c r="T442" i="25"/>
  <c r="U442" i="25"/>
  <c r="C443" i="25"/>
  <c r="D443" i="25"/>
  <c r="E443" i="25"/>
  <c r="F443" i="25"/>
  <c r="G443" i="25"/>
  <c r="H443" i="25"/>
  <c r="I443" i="25"/>
  <c r="J443" i="25"/>
  <c r="K443" i="25"/>
  <c r="L443" i="25"/>
  <c r="M443" i="25"/>
  <c r="N443" i="25"/>
  <c r="O443" i="25"/>
  <c r="P443" i="25"/>
  <c r="Q443" i="25"/>
  <c r="R443" i="25"/>
  <c r="S443" i="25"/>
  <c r="T443" i="25"/>
  <c r="U443" i="25"/>
  <c r="C453" i="25"/>
  <c r="D453" i="25"/>
  <c r="E453" i="25"/>
  <c r="F453" i="25"/>
  <c r="G453" i="25"/>
  <c r="H453" i="25"/>
  <c r="I453" i="25"/>
  <c r="J453" i="25"/>
  <c r="K453" i="25"/>
  <c r="L453" i="25"/>
  <c r="M453" i="25"/>
  <c r="N453" i="25"/>
  <c r="O453" i="25"/>
  <c r="P453" i="25"/>
  <c r="Q453" i="25"/>
  <c r="R453" i="25"/>
  <c r="S453" i="25"/>
  <c r="T453" i="25"/>
  <c r="U453" i="25"/>
  <c r="C426" i="25"/>
  <c r="D426" i="25"/>
  <c r="E426" i="25"/>
  <c r="F426" i="25"/>
  <c r="G426" i="25"/>
  <c r="H426" i="25"/>
  <c r="I426" i="25"/>
  <c r="J426" i="25"/>
  <c r="K426" i="25"/>
  <c r="L426" i="25"/>
  <c r="M426" i="25"/>
  <c r="N426" i="25"/>
  <c r="O426" i="25"/>
  <c r="P426" i="25"/>
  <c r="Q426" i="25"/>
  <c r="R426" i="25"/>
  <c r="S426" i="25"/>
  <c r="T426" i="25"/>
  <c r="U426" i="25"/>
  <c r="C438" i="25"/>
  <c r="D438" i="25"/>
  <c r="E438" i="25"/>
  <c r="F438" i="25"/>
  <c r="G438" i="25"/>
  <c r="H438" i="25"/>
  <c r="I438" i="25"/>
  <c r="J438" i="25"/>
  <c r="K438" i="25"/>
  <c r="L438" i="25"/>
  <c r="M438" i="25"/>
  <c r="N438" i="25"/>
  <c r="O438" i="25"/>
  <c r="P438" i="25"/>
  <c r="Q438" i="25"/>
  <c r="R438" i="25"/>
  <c r="S438" i="25"/>
  <c r="T438" i="25"/>
  <c r="U438" i="25"/>
  <c r="C439" i="25"/>
  <c r="D439" i="25"/>
  <c r="E439" i="25"/>
  <c r="F439" i="25"/>
  <c r="G439" i="25"/>
  <c r="H439" i="25"/>
  <c r="I439" i="25"/>
  <c r="J439" i="25"/>
  <c r="K439" i="25"/>
  <c r="L439" i="25"/>
  <c r="M439" i="25"/>
  <c r="N439" i="25"/>
  <c r="O439" i="25"/>
  <c r="P439" i="25"/>
  <c r="Q439" i="25"/>
  <c r="R439" i="25"/>
  <c r="S439" i="25"/>
  <c r="T439" i="25"/>
  <c r="U439" i="25"/>
  <c r="C444" i="25"/>
  <c r="D444" i="25"/>
  <c r="E444" i="25"/>
  <c r="F444" i="25"/>
  <c r="G444" i="25"/>
  <c r="H444" i="25"/>
  <c r="I444" i="25"/>
  <c r="J444" i="25"/>
  <c r="K444" i="25"/>
  <c r="L444" i="25"/>
  <c r="M444" i="25"/>
  <c r="N444" i="25"/>
  <c r="O444" i="25"/>
  <c r="P444" i="25"/>
  <c r="Q444" i="25"/>
  <c r="R444" i="25"/>
  <c r="S444" i="25"/>
  <c r="T444" i="25"/>
  <c r="U444" i="25"/>
  <c r="C445" i="25"/>
  <c r="D445" i="25"/>
  <c r="E445" i="25"/>
  <c r="F445" i="25"/>
  <c r="G445" i="25"/>
  <c r="H445" i="25"/>
  <c r="I445" i="25"/>
  <c r="J445" i="25"/>
  <c r="K445" i="25"/>
  <c r="L445" i="25"/>
  <c r="M445" i="25"/>
  <c r="N445" i="25"/>
  <c r="O445" i="25"/>
  <c r="P445" i="25"/>
  <c r="Q445" i="25"/>
  <c r="R445" i="25"/>
  <c r="S445" i="25"/>
  <c r="T445" i="25"/>
  <c r="U445" i="25"/>
  <c r="C446" i="25"/>
  <c r="D446" i="25"/>
  <c r="E446" i="25"/>
  <c r="F446" i="25"/>
  <c r="G446" i="25"/>
  <c r="H446" i="25"/>
  <c r="I446" i="25"/>
  <c r="J446" i="25"/>
  <c r="K446" i="25"/>
  <c r="L446" i="25"/>
  <c r="M446" i="25"/>
  <c r="N446" i="25"/>
  <c r="O446" i="25"/>
  <c r="P446" i="25"/>
  <c r="Q446" i="25"/>
  <c r="R446" i="25"/>
  <c r="S446" i="25"/>
  <c r="T446" i="25"/>
  <c r="U446" i="25"/>
  <c r="C447" i="25"/>
  <c r="D447" i="25"/>
  <c r="E447" i="25"/>
  <c r="F447" i="25"/>
  <c r="G447" i="25"/>
  <c r="H447" i="25"/>
  <c r="I447" i="25"/>
  <c r="J447" i="25"/>
  <c r="K447" i="25"/>
  <c r="L447" i="25"/>
  <c r="M447" i="25"/>
  <c r="N447" i="25"/>
  <c r="O447" i="25"/>
  <c r="P447" i="25"/>
  <c r="Q447" i="25"/>
  <c r="R447" i="25"/>
  <c r="S447" i="25"/>
  <c r="T447" i="25"/>
  <c r="U447" i="25"/>
  <c r="C448" i="25"/>
  <c r="D448" i="25"/>
  <c r="E448" i="25"/>
  <c r="F448" i="25"/>
  <c r="G448" i="25"/>
  <c r="H448" i="25"/>
  <c r="I448" i="25"/>
  <c r="J448" i="25"/>
  <c r="K448" i="25"/>
  <c r="L448" i="25"/>
  <c r="M448" i="25"/>
  <c r="N448" i="25"/>
  <c r="O448" i="25"/>
  <c r="P448" i="25"/>
  <c r="Q448" i="25"/>
  <c r="R448" i="25"/>
  <c r="S448" i="25"/>
  <c r="T448" i="25"/>
  <c r="U448" i="25"/>
  <c r="C454" i="25"/>
  <c r="D454" i="25"/>
  <c r="E454" i="25"/>
  <c r="F454" i="25"/>
  <c r="G454" i="25"/>
  <c r="H454" i="25"/>
  <c r="I454" i="25"/>
  <c r="J454" i="25"/>
  <c r="K454" i="25"/>
  <c r="L454" i="25"/>
  <c r="M454" i="25"/>
  <c r="N454" i="25"/>
  <c r="O454" i="25"/>
  <c r="P454" i="25"/>
  <c r="Q454" i="25"/>
  <c r="R454" i="25"/>
  <c r="S454" i="25"/>
  <c r="T454" i="25"/>
  <c r="U454" i="25"/>
  <c r="C455" i="25"/>
  <c r="D455" i="25"/>
  <c r="E455" i="25"/>
  <c r="F455" i="25"/>
  <c r="G455" i="25"/>
  <c r="H455" i="25"/>
  <c r="I455" i="25"/>
  <c r="J455" i="25"/>
  <c r="K455" i="25"/>
  <c r="L455" i="25"/>
  <c r="M455" i="25"/>
  <c r="N455" i="25"/>
  <c r="O455" i="25"/>
  <c r="P455" i="25"/>
  <c r="Q455" i="25"/>
  <c r="R455" i="25"/>
  <c r="S455" i="25"/>
  <c r="T455" i="25"/>
  <c r="U455" i="25"/>
  <c r="C457" i="25"/>
  <c r="D457" i="25"/>
  <c r="E457" i="25"/>
  <c r="F457" i="25"/>
  <c r="G457" i="25"/>
  <c r="H457" i="25"/>
  <c r="I457" i="25"/>
  <c r="J457" i="25"/>
  <c r="K457" i="25"/>
  <c r="L457" i="25"/>
  <c r="M457" i="25"/>
  <c r="N457" i="25"/>
  <c r="O457" i="25"/>
  <c r="P457" i="25"/>
  <c r="Q457" i="25"/>
  <c r="R457" i="25"/>
  <c r="S457" i="25"/>
  <c r="T457" i="25"/>
  <c r="U457" i="25"/>
  <c r="C458" i="25"/>
  <c r="D458" i="25"/>
  <c r="E458" i="25"/>
  <c r="F458" i="25"/>
  <c r="G458" i="25"/>
  <c r="H458" i="25"/>
  <c r="I458" i="25"/>
  <c r="J458" i="25"/>
  <c r="K458" i="25"/>
  <c r="L458" i="25"/>
  <c r="M458" i="25"/>
  <c r="N458" i="25"/>
  <c r="O458" i="25"/>
  <c r="P458" i="25"/>
  <c r="Q458" i="25"/>
  <c r="R458" i="25"/>
  <c r="S458" i="25"/>
  <c r="T458" i="25"/>
  <c r="U458" i="25"/>
  <c r="C449" i="25"/>
  <c r="D449" i="25"/>
  <c r="E449" i="25"/>
  <c r="F449" i="25"/>
  <c r="G449" i="25"/>
  <c r="H449" i="25"/>
  <c r="I449" i="25"/>
  <c r="J449" i="25"/>
  <c r="K449" i="25"/>
  <c r="L449" i="25"/>
  <c r="M449" i="25"/>
  <c r="N449" i="25"/>
  <c r="O449" i="25"/>
  <c r="P449" i="25"/>
  <c r="Q449" i="25"/>
  <c r="R449" i="25"/>
  <c r="S449" i="25"/>
  <c r="T449" i="25"/>
  <c r="U449" i="25"/>
  <c r="A447" i="25"/>
  <c r="B447" i="25"/>
  <c r="A448" i="25"/>
  <c r="B448" i="25"/>
  <c r="A454" i="25"/>
  <c r="B454" i="25"/>
  <c r="A455" i="25"/>
  <c r="B455" i="25"/>
  <c r="A457" i="25"/>
  <c r="B457" i="25"/>
  <c r="A458" i="25"/>
  <c r="B458" i="25"/>
  <c r="A449" i="25"/>
  <c r="B449" i="25"/>
  <c r="A424" i="25"/>
  <c r="B424" i="25"/>
  <c r="A418" i="25"/>
  <c r="B418" i="25"/>
  <c r="A419" i="25"/>
  <c r="B419" i="25"/>
  <c r="A421" i="25"/>
  <c r="B421" i="25"/>
  <c r="A422" i="25"/>
  <c r="B422" i="25"/>
  <c r="A427" i="25"/>
  <c r="B427" i="25"/>
  <c r="A430" i="25"/>
  <c r="B430" i="25"/>
  <c r="A431" i="25"/>
  <c r="B431" i="25"/>
  <c r="A435" i="25"/>
  <c r="B435" i="25"/>
  <c r="A436" i="25"/>
  <c r="B436" i="25"/>
  <c r="A437" i="25"/>
  <c r="B437" i="25"/>
  <c r="A440" i="25"/>
  <c r="B440" i="25"/>
  <c r="A442" i="25"/>
  <c r="B442" i="25"/>
  <c r="A443" i="25"/>
  <c r="B443" i="25"/>
  <c r="A453" i="25"/>
  <c r="B453" i="25"/>
  <c r="A426" i="25"/>
  <c r="B426" i="25"/>
  <c r="A438" i="25"/>
  <c r="B438" i="25"/>
  <c r="A439" i="25"/>
  <c r="B439" i="25"/>
  <c r="A444" i="25"/>
  <c r="B444" i="25"/>
  <c r="A445" i="25"/>
  <c r="B445" i="25"/>
  <c r="A446" i="25"/>
  <c r="B446" i="25"/>
  <c r="A423" i="25"/>
  <c r="B423" i="25"/>
  <c r="A425" i="25"/>
  <c r="B425" i="25"/>
  <c r="A428" i="25"/>
  <c r="B428" i="25"/>
  <c r="A429" i="25"/>
  <c r="B429" i="25"/>
  <c r="A433" i="25"/>
  <c r="B433" i="25"/>
  <c r="A434" i="25"/>
  <c r="B434" i="25"/>
  <c r="A450" i="25"/>
  <c r="B450" i="25"/>
  <c r="A451" i="25"/>
  <c r="B451" i="25"/>
  <c r="A452" i="25"/>
  <c r="B452" i="25"/>
  <c r="A456" i="25"/>
  <c r="B456" i="25"/>
  <c r="A416" i="25"/>
  <c r="B416" i="25"/>
  <c r="A432" i="25"/>
  <c r="B432" i="25"/>
  <c r="A441" i="25"/>
  <c r="B441" i="25"/>
  <c r="A415" i="25"/>
  <c r="B415" i="25"/>
  <c r="A417" i="25"/>
  <c r="B417" i="25"/>
  <c r="B420" i="25"/>
  <c r="A420" i="25"/>
  <c r="B118" i="24"/>
  <c r="C118" i="24"/>
  <c r="D118" i="24"/>
  <c r="E118" i="24"/>
  <c r="F118" i="24"/>
  <c r="G118" i="24"/>
  <c r="H118" i="24"/>
  <c r="I118" i="24"/>
  <c r="J118" i="24"/>
  <c r="K118" i="24"/>
  <c r="L118" i="24"/>
  <c r="M118" i="24"/>
  <c r="N118" i="24"/>
  <c r="O118" i="24"/>
  <c r="P118" i="24"/>
  <c r="Q118" i="24"/>
  <c r="R118" i="24"/>
  <c r="S118" i="24"/>
  <c r="T118" i="24"/>
  <c r="U118" i="24"/>
  <c r="B119" i="24"/>
  <c r="C119" i="24"/>
  <c r="D119" i="24"/>
  <c r="E119" i="24"/>
  <c r="F119" i="24"/>
  <c r="G119" i="24"/>
  <c r="H119" i="24"/>
  <c r="I119" i="24"/>
  <c r="J119" i="24"/>
  <c r="K119" i="24"/>
  <c r="L119" i="24"/>
  <c r="M119" i="24"/>
  <c r="N119" i="24"/>
  <c r="O119" i="24"/>
  <c r="P119" i="24"/>
  <c r="Q119" i="24"/>
  <c r="R119" i="24"/>
  <c r="S119" i="24"/>
  <c r="T119" i="24"/>
  <c r="U119" i="24"/>
  <c r="B120" i="24"/>
  <c r="C120" i="24"/>
  <c r="D120" i="24"/>
  <c r="E120" i="24"/>
  <c r="F120" i="24"/>
  <c r="G120" i="24"/>
  <c r="H120" i="24"/>
  <c r="I120" i="24"/>
  <c r="J120" i="24"/>
  <c r="K120" i="24"/>
  <c r="L120" i="24"/>
  <c r="M120" i="24"/>
  <c r="N120" i="24"/>
  <c r="O120" i="24"/>
  <c r="P120" i="24"/>
  <c r="Q120" i="24"/>
  <c r="R120" i="24"/>
  <c r="S120" i="24"/>
  <c r="T120" i="24"/>
  <c r="U120" i="24"/>
  <c r="B121" i="24"/>
  <c r="C121" i="24"/>
  <c r="D121" i="24"/>
  <c r="E121" i="24"/>
  <c r="F121" i="24"/>
  <c r="G121" i="24"/>
  <c r="H121" i="24"/>
  <c r="I121" i="24"/>
  <c r="J121" i="24"/>
  <c r="K121" i="24"/>
  <c r="L121" i="24"/>
  <c r="M121" i="24"/>
  <c r="N121" i="24"/>
  <c r="O121" i="24"/>
  <c r="P121" i="24"/>
  <c r="Q121" i="24"/>
  <c r="R121" i="24"/>
  <c r="S121" i="24"/>
  <c r="T121" i="24"/>
  <c r="U121" i="24"/>
  <c r="B122" i="24"/>
  <c r="C122" i="24"/>
  <c r="D122" i="24"/>
  <c r="E122" i="24"/>
  <c r="F122" i="24"/>
  <c r="G122" i="24"/>
  <c r="H122" i="24"/>
  <c r="I122" i="24"/>
  <c r="J122" i="24"/>
  <c r="K122" i="24"/>
  <c r="L122" i="24"/>
  <c r="M122" i="24"/>
  <c r="N122" i="24"/>
  <c r="O122" i="24"/>
  <c r="P122" i="24"/>
  <c r="Q122" i="24"/>
  <c r="R122" i="24"/>
  <c r="S122" i="24"/>
  <c r="T122" i="24"/>
  <c r="U122" i="24"/>
  <c r="B123" i="24"/>
  <c r="C123" i="24"/>
  <c r="D123" i="24"/>
  <c r="E123" i="24"/>
  <c r="F123" i="24"/>
  <c r="G123" i="24"/>
  <c r="H123" i="24"/>
  <c r="I123" i="24"/>
  <c r="J123" i="24"/>
  <c r="K123" i="24"/>
  <c r="L123" i="24"/>
  <c r="M123" i="24"/>
  <c r="N123" i="24"/>
  <c r="O123" i="24"/>
  <c r="P123" i="24"/>
  <c r="Q123" i="24"/>
  <c r="R123" i="24"/>
  <c r="S123" i="24"/>
  <c r="T123" i="24"/>
  <c r="U123" i="24"/>
  <c r="B124" i="24"/>
  <c r="C124" i="24"/>
  <c r="D124" i="24"/>
  <c r="E124" i="24"/>
  <c r="F124" i="24"/>
  <c r="G124" i="24"/>
  <c r="H124" i="24"/>
  <c r="I124" i="24"/>
  <c r="J124" i="24"/>
  <c r="K124" i="24"/>
  <c r="L124" i="24"/>
  <c r="M124" i="24"/>
  <c r="N124" i="24"/>
  <c r="O124" i="24"/>
  <c r="P124" i="24"/>
  <c r="Q124" i="24"/>
  <c r="R124" i="24"/>
  <c r="S124" i="24"/>
  <c r="T124" i="24"/>
  <c r="U124" i="24"/>
  <c r="B125" i="24"/>
  <c r="C125" i="24"/>
  <c r="D125" i="24"/>
  <c r="E125" i="24"/>
  <c r="F125" i="24"/>
  <c r="G125" i="24"/>
  <c r="H125" i="24"/>
  <c r="I125" i="24"/>
  <c r="J125" i="24"/>
  <c r="K125" i="24"/>
  <c r="L125" i="24"/>
  <c r="M125" i="24"/>
  <c r="N125" i="24"/>
  <c r="O125" i="24"/>
  <c r="P125" i="24"/>
  <c r="Q125" i="24"/>
  <c r="R125" i="24"/>
  <c r="S125" i="24"/>
  <c r="T125" i="24"/>
  <c r="U125" i="24"/>
  <c r="B126" i="24"/>
  <c r="C126" i="24"/>
  <c r="D126" i="24"/>
  <c r="E126" i="24"/>
  <c r="F126" i="24"/>
  <c r="G126" i="24"/>
  <c r="H126" i="24"/>
  <c r="I126" i="24"/>
  <c r="J126" i="24"/>
  <c r="K126" i="24"/>
  <c r="L126" i="24"/>
  <c r="M126" i="24"/>
  <c r="N126" i="24"/>
  <c r="O126" i="24"/>
  <c r="P126" i="24"/>
  <c r="Q126" i="24"/>
  <c r="R126" i="24"/>
  <c r="S126" i="24"/>
  <c r="T126" i="24"/>
  <c r="U126" i="24"/>
  <c r="A119" i="24"/>
  <c r="A120" i="24"/>
  <c r="A121" i="24"/>
  <c r="A122" i="24"/>
  <c r="A123" i="24"/>
  <c r="A124" i="24"/>
  <c r="A125" i="24"/>
  <c r="A126" i="24"/>
  <c r="A118" i="24"/>
  <c r="N41" i="3" l="1"/>
  <c r="N50" i="7"/>
  <c r="L8" i="4"/>
  <c r="N68" i="7"/>
  <c r="L45" i="3"/>
  <c r="L67" i="3"/>
  <c r="N33" i="4"/>
  <c r="L10" i="3"/>
  <c r="N121" i="18"/>
  <c r="N77" i="3"/>
  <c r="L52" i="18"/>
  <c r="L23" i="14"/>
  <c r="L57" i="7"/>
  <c r="L48" i="18"/>
  <c r="N41" i="18"/>
  <c r="N49" i="21"/>
  <c r="N79" i="5"/>
  <c r="N82" i="5"/>
  <c r="N38" i="7"/>
  <c r="N37" i="4"/>
  <c r="L55" i="3"/>
  <c r="N44" i="3"/>
  <c r="L16" i="21"/>
  <c r="N35" i="3"/>
  <c r="N124" i="18"/>
  <c r="N35" i="7"/>
  <c r="L25" i="5"/>
  <c r="N37" i="3"/>
  <c r="N12" i="4"/>
  <c r="N28" i="18" l="1"/>
  <c r="L26" i="3"/>
  <c r="N61" i="21"/>
  <c r="L15" i="14"/>
  <c r="L20" i="14"/>
  <c r="N73" i="5" l="1"/>
  <c r="L73" i="5"/>
  <c r="N9" i="3" l="1"/>
  <c r="N27" i="3"/>
  <c r="L33" i="18"/>
  <c r="N21" i="4"/>
  <c r="L16" i="4"/>
  <c r="N28" i="7"/>
  <c r="L86" i="7"/>
  <c r="L27" i="21"/>
  <c r="N76" i="18"/>
  <c r="L17" i="4"/>
  <c r="L36" i="21"/>
  <c r="L36" i="4"/>
  <c r="L49" i="18"/>
  <c r="L41" i="18"/>
  <c r="L28" i="3"/>
  <c r="L94" i="5"/>
  <c r="L50" i="21"/>
  <c r="L13" i="5"/>
  <c r="L8" i="5"/>
  <c r="L91" i="5"/>
  <c r="L89" i="18"/>
  <c r="L61" i="21"/>
  <c r="L43" i="7"/>
  <c r="L6" i="3"/>
  <c r="N17" i="3"/>
  <c r="N28" i="3"/>
  <c r="L7" i="21"/>
  <c r="L60" i="21"/>
  <c r="L57" i="21"/>
  <c r="N62" i="3"/>
  <c r="L108" i="7"/>
  <c r="N104" i="7"/>
  <c r="N23" i="3"/>
  <c r="N109" i="7"/>
  <c r="L58" i="3"/>
  <c r="N123" i="18"/>
  <c r="L21" i="5" l="1"/>
  <c r="N59" i="21"/>
  <c r="L51" i="7"/>
  <c r="L20" i="21"/>
  <c r="L11" i="21"/>
  <c r="L131" i="18"/>
  <c r="L102" i="18"/>
  <c r="N75" i="5"/>
  <c r="L30" i="18"/>
  <c r="N100" i="18"/>
  <c r="N51" i="7"/>
  <c r="L117" i="7"/>
  <c r="N57" i="21"/>
  <c r="N141" i="18"/>
  <c r="L44" i="18"/>
  <c r="N7" i="5"/>
  <c r="N56" i="18"/>
  <c r="N13" i="18"/>
  <c r="N38" i="3" l="1"/>
  <c r="A54" i="26" l="1"/>
  <c r="B54" i="26"/>
  <c r="C54" i="26"/>
  <c r="D54" i="26"/>
  <c r="F54" i="26"/>
  <c r="G54" i="26"/>
  <c r="H54" i="26"/>
  <c r="I54" i="26"/>
  <c r="J54" i="26"/>
  <c r="K54" i="26"/>
  <c r="M54" i="26"/>
  <c r="O54" i="26"/>
  <c r="P54" i="26"/>
  <c r="Q54" i="26"/>
  <c r="R54" i="26"/>
  <c r="T54" i="26"/>
  <c r="U54" i="26"/>
  <c r="A55" i="26"/>
  <c r="B55" i="26"/>
  <c r="C55" i="26"/>
  <c r="D55" i="26"/>
  <c r="F55" i="26"/>
  <c r="G55" i="26"/>
  <c r="H55" i="26"/>
  <c r="I55" i="26"/>
  <c r="J55" i="26"/>
  <c r="W55" i="26" s="1"/>
  <c r="K55" i="26"/>
  <c r="M55" i="26"/>
  <c r="N55" i="26"/>
  <c r="O55" i="26"/>
  <c r="P55" i="26"/>
  <c r="Q55" i="26"/>
  <c r="R55" i="26"/>
  <c r="S55" i="26"/>
  <c r="T55" i="26"/>
  <c r="U55" i="26"/>
  <c r="A56" i="26"/>
  <c r="B56" i="26"/>
  <c r="C56" i="26"/>
  <c r="D56" i="26"/>
  <c r="E56" i="26"/>
  <c r="F56" i="26"/>
  <c r="G56" i="26"/>
  <c r="H56" i="26"/>
  <c r="I56" i="26"/>
  <c r="W56" i="26" s="1"/>
  <c r="J56" i="26"/>
  <c r="K56" i="26"/>
  <c r="M56" i="26"/>
  <c r="O56" i="26"/>
  <c r="P56" i="26"/>
  <c r="Q56" i="26"/>
  <c r="R56" i="26"/>
  <c r="S56" i="26"/>
  <c r="T56" i="26"/>
  <c r="U56" i="26"/>
  <c r="W54" i="26" l="1"/>
  <c r="W52" i="26"/>
  <c r="W50" i="26"/>
  <c r="L62" i="18" l="1"/>
  <c r="N62" i="18"/>
  <c r="L61" i="18"/>
  <c r="L76" i="18"/>
  <c r="N90" i="18"/>
  <c r="L107" i="18"/>
  <c r="L144" i="18"/>
  <c r="L146" i="18"/>
  <c r="L28" i="7" l="1"/>
  <c r="L26" i="7"/>
  <c r="L20" i="7"/>
  <c r="L19" i="7"/>
  <c r="L25" i="7"/>
  <c r="N24" i="7"/>
  <c r="L18" i="7"/>
  <c r="L29" i="7"/>
  <c r="N29" i="7"/>
  <c r="L21" i="7"/>
  <c r="N21" i="7"/>
  <c r="N9" i="7"/>
  <c r="L8" i="7"/>
  <c r="N10" i="7"/>
  <c r="N14" i="7"/>
  <c r="N16" i="7"/>
  <c r="L15" i="7"/>
  <c r="L14" i="7"/>
  <c r="N34" i="7"/>
  <c r="N20" i="7"/>
  <c r="L34" i="7"/>
  <c r="L41" i="7"/>
  <c r="L35" i="7"/>
  <c r="N40" i="7"/>
  <c r="L40" i="7"/>
  <c r="L27" i="7"/>
  <c r="L56" i="7"/>
  <c r="N27" i="7"/>
  <c r="L77" i="3" l="1"/>
  <c r="L20" i="18"/>
  <c r="L46" i="18"/>
  <c r="N12" i="3"/>
  <c r="N81" i="7"/>
  <c r="L18" i="3"/>
  <c r="N27" i="18"/>
  <c r="L40" i="4"/>
  <c r="L81" i="18"/>
  <c r="N94" i="18"/>
  <c r="L94" i="18"/>
  <c r="L93" i="18"/>
  <c r="N93" i="18"/>
  <c r="A48" i="26" l="1"/>
  <c r="B48" i="26"/>
  <c r="C48" i="26"/>
  <c r="D48" i="26"/>
  <c r="E48" i="26"/>
  <c r="F48" i="26"/>
  <c r="G48" i="26"/>
  <c r="H48" i="26"/>
  <c r="I48" i="26"/>
  <c r="J48" i="26"/>
  <c r="K48" i="26"/>
  <c r="L48" i="26"/>
  <c r="M48" i="26"/>
  <c r="N48" i="26"/>
  <c r="O48" i="26"/>
  <c r="P48" i="26"/>
  <c r="Q48" i="26"/>
  <c r="R48" i="26"/>
  <c r="S48" i="26"/>
  <c r="T48" i="26"/>
  <c r="U48" i="26"/>
  <c r="A47" i="26"/>
  <c r="A51" i="26" s="1"/>
  <c r="B47" i="26"/>
  <c r="B51" i="26" s="1"/>
  <c r="C47" i="26"/>
  <c r="C51" i="26" s="1"/>
  <c r="D47" i="26"/>
  <c r="D51" i="26" s="1"/>
  <c r="E47" i="26"/>
  <c r="E51" i="26" s="1"/>
  <c r="F47" i="26"/>
  <c r="F51" i="26" s="1"/>
  <c r="G47" i="26"/>
  <c r="G51" i="26" s="1"/>
  <c r="H47" i="26"/>
  <c r="H51" i="26" s="1"/>
  <c r="I47" i="26"/>
  <c r="I51" i="26" s="1"/>
  <c r="J47" i="26"/>
  <c r="J51" i="26" s="1"/>
  <c r="K47" i="26"/>
  <c r="K51" i="26" s="1"/>
  <c r="M47" i="26"/>
  <c r="M51" i="26" s="1"/>
  <c r="N47" i="26"/>
  <c r="N51" i="26" s="1"/>
  <c r="O47" i="26"/>
  <c r="O51" i="26" s="1"/>
  <c r="P47" i="26"/>
  <c r="P51" i="26" s="1"/>
  <c r="Q47" i="26"/>
  <c r="Q51" i="26" s="1"/>
  <c r="R47" i="26"/>
  <c r="R51" i="26" s="1"/>
  <c r="S47" i="26"/>
  <c r="S51" i="26" s="1"/>
  <c r="T47" i="26"/>
  <c r="T51" i="26" s="1"/>
  <c r="U47" i="26"/>
  <c r="U51" i="26" s="1"/>
  <c r="W51" i="26" l="1"/>
  <c r="W47" i="26"/>
  <c r="W48" i="26"/>
  <c r="L48" i="21"/>
  <c r="A30" i="26"/>
  <c r="B30" i="26"/>
  <c r="C30" i="26"/>
  <c r="D30" i="26"/>
  <c r="F30" i="26"/>
  <c r="G30" i="26"/>
  <c r="H30" i="26"/>
  <c r="I30" i="26"/>
  <c r="J30" i="26"/>
  <c r="K30" i="26"/>
  <c r="L30" i="26"/>
  <c r="M30" i="26"/>
  <c r="N30" i="26"/>
  <c r="O30" i="26"/>
  <c r="P30" i="26"/>
  <c r="Q30" i="26"/>
  <c r="R30" i="26"/>
  <c r="T30" i="26"/>
  <c r="U30" i="26"/>
  <c r="A32" i="26"/>
  <c r="B32" i="26"/>
  <c r="C32" i="26"/>
  <c r="D32" i="26"/>
  <c r="F32" i="26"/>
  <c r="G32" i="26"/>
  <c r="H32" i="26"/>
  <c r="I32" i="26"/>
  <c r="J32" i="26"/>
  <c r="K32" i="26"/>
  <c r="M32" i="26"/>
  <c r="O32" i="26"/>
  <c r="P32" i="26"/>
  <c r="Q32" i="26"/>
  <c r="R32" i="26"/>
  <c r="S32" i="26"/>
  <c r="T32" i="26"/>
  <c r="U32" i="26"/>
  <c r="N52" i="5"/>
  <c r="N32" i="26" s="1"/>
  <c r="L52" i="5"/>
  <c r="L32" i="26" s="1"/>
  <c r="N51" i="5"/>
  <c r="N50" i="5"/>
  <c r="L50" i="5"/>
  <c r="L100" i="7"/>
  <c r="N79" i="3"/>
  <c r="N75" i="3"/>
  <c r="N10" i="18"/>
  <c r="N128" i="18"/>
  <c r="N42" i="7"/>
  <c r="L47" i="3"/>
  <c r="L36" i="3"/>
  <c r="N48" i="21"/>
  <c r="N42" i="14"/>
  <c r="W30" i="26" l="1"/>
  <c r="W32" i="26"/>
  <c r="S24" i="7"/>
  <c r="S103" i="7"/>
  <c r="S42" i="21"/>
  <c r="S11" i="21"/>
  <c r="P11" i="21"/>
  <c r="S38" i="3"/>
  <c r="S43" i="4"/>
  <c r="S27" i="4"/>
  <c r="S37" i="4"/>
  <c r="S36" i="4"/>
  <c r="S14" i="3"/>
  <c r="S15" i="4"/>
  <c r="S49" i="3"/>
  <c r="S8" i="4"/>
  <c r="S75" i="3"/>
  <c r="N97" i="7" l="1"/>
  <c r="N12" i="14"/>
  <c r="N27" i="21"/>
  <c r="L58" i="7"/>
  <c r="N49" i="5"/>
  <c r="L45" i="21"/>
  <c r="L92" i="7"/>
  <c r="N8" i="4"/>
  <c r="L18" i="5"/>
  <c r="L9" i="21"/>
  <c r="N7" i="4"/>
  <c r="N45" i="14"/>
  <c r="L14" i="3" l="1"/>
  <c r="N10" i="5"/>
  <c r="N89" i="7"/>
  <c r="L22" i="3"/>
  <c r="L44" i="21"/>
  <c r="L27" i="4"/>
  <c r="L13" i="21"/>
  <c r="N106" i="7"/>
  <c r="N19" i="5"/>
  <c r="N49" i="3"/>
  <c r="N44" i="14"/>
  <c r="N8" i="5"/>
  <c r="N46" i="3"/>
  <c r="L75" i="3"/>
  <c r="N47" i="3"/>
  <c r="N74" i="3"/>
  <c r="N166" i="18"/>
  <c r="N73" i="7"/>
  <c r="L40" i="3"/>
  <c r="L44" i="3"/>
  <c r="L17" i="3"/>
  <c r="L19" i="4"/>
  <c r="L154" i="18"/>
  <c r="L106" i="18"/>
  <c r="N53" i="18"/>
  <c r="N23" i="21"/>
  <c r="N77" i="18" l="1"/>
  <c r="L77" i="18"/>
  <c r="L8" i="3" l="1"/>
  <c r="L51" i="3"/>
  <c r="L54" i="26" s="1"/>
  <c r="N43" i="14"/>
  <c r="N15" i="4"/>
  <c r="L41" i="4"/>
  <c r="L22" i="18"/>
  <c r="N153" i="18"/>
  <c r="N67" i="7"/>
  <c r="L37" i="3"/>
  <c r="N35" i="18"/>
  <c r="L8" i="14"/>
  <c r="L28" i="14"/>
  <c r="L175" i="18"/>
  <c r="N36" i="21"/>
  <c r="L73" i="7"/>
  <c r="L38" i="4"/>
  <c r="L65" i="3"/>
  <c r="N83" i="18"/>
  <c r="N28" i="4"/>
  <c r="N133" i="18"/>
  <c r="N158" i="18"/>
  <c r="N23" i="14"/>
  <c r="L21" i="18"/>
  <c r="N16" i="3"/>
  <c r="L43" i="4"/>
  <c r="N10" i="4"/>
  <c r="L170" i="18"/>
  <c r="L13" i="4"/>
  <c r="L89" i="5"/>
  <c r="N14" i="5"/>
  <c r="N21" i="21"/>
  <c r="N41" i="5"/>
  <c r="L74" i="3"/>
  <c r="N22" i="3"/>
  <c r="L89" i="7"/>
  <c r="N42" i="3"/>
  <c r="N102" i="5"/>
  <c r="L102" i="5"/>
  <c r="L20" i="3"/>
  <c r="N21" i="3"/>
  <c r="L64" i="18"/>
  <c r="L27" i="18"/>
  <c r="L53" i="18"/>
  <c r="N56" i="7" l="1"/>
  <c r="L19" i="3" l="1"/>
  <c r="L12" i="3"/>
  <c r="N169" i="18"/>
  <c r="N50" i="21"/>
  <c r="N38" i="14"/>
  <c r="N13" i="3"/>
  <c r="L93" i="7"/>
  <c r="L56" i="18"/>
  <c r="N8" i="3"/>
  <c r="N67" i="18"/>
  <c r="L135" i="18"/>
  <c r="N9" i="5"/>
  <c r="L141" i="18"/>
  <c r="N76" i="5"/>
  <c r="L45" i="4"/>
  <c r="L27" i="3"/>
  <c r="N106" i="18"/>
  <c r="N23" i="4"/>
  <c r="L7" i="4"/>
  <c r="L134" i="18"/>
  <c r="N31" i="21"/>
  <c r="L39" i="7"/>
  <c r="L67" i="7"/>
  <c r="L84" i="18"/>
  <c r="N29" i="18"/>
  <c r="N33" i="7"/>
  <c r="L24" i="14"/>
  <c r="L19" i="21"/>
  <c r="L41" i="21"/>
  <c r="L8" i="18"/>
  <c r="L33" i="4"/>
  <c r="L23" i="7"/>
  <c r="L24" i="21" l="1"/>
  <c r="L37" i="4"/>
  <c r="L33" i="7"/>
  <c r="N15" i="7"/>
  <c r="N99" i="5"/>
  <c r="L23" i="4"/>
  <c r="N13" i="21"/>
  <c r="L20" i="4"/>
  <c r="N40" i="14"/>
  <c r="N46" i="18"/>
  <c r="N65" i="21"/>
  <c r="L12" i="21"/>
  <c r="N103" i="5"/>
  <c r="L85" i="18"/>
  <c r="N42" i="4"/>
  <c r="N72" i="3"/>
  <c r="L67" i="18"/>
  <c r="L42" i="7"/>
  <c r="L54" i="5"/>
  <c r="L44" i="14"/>
  <c r="L21" i="21"/>
  <c r="N31" i="4"/>
  <c r="L43" i="3"/>
  <c r="L54" i="7"/>
  <c r="L25" i="21"/>
  <c r="N25" i="21"/>
  <c r="L60" i="5"/>
  <c r="L15" i="5"/>
  <c r="L61" i="3" l="1"/>
  <c r="L22" i="4"/>
  <c r="N47" i="21"/>
  <c r="N41" i="7"/>
  <c r="L32" i="4"/>
  <c r="N24" i="18"/>
  <c r="N45" i="4"/>
  <c r="N10" i="3"/>
  <c r="N47" i="18"/>
  <c r="N9" i="21"/>
  <c r="N45" i="18"/>
  <c r="L28" i="4"/>
  <c r="L41" i="3"/>
  <c r="N48" i="3"/>
  <c r="N27" i="4"/>
  <c r="N43" i="3"/>
  <c r="L74" i="18"/>
  <c r="N87" i="5"/>
  <c r="N16" i="4"/>
  <c r="L15" i="4"/>
  <c r="L11" i="18"/>
  <c r="L58" i="18"/>
  <c r="N64" i="21"/>
  <c r="L49" i="3"/>
  <c r="L23" i="18"/>
  <c r="L159" i="18"/>
  <c r="N36" i="3"/>
  <c r="L121" i="18"/>
  <c r="L75" i="5"/>
  <c r="N21" i="14"/>
  <c r="N71" i="3"/>
  <c r="L161" i="18" l="1"/>
  <c r="N14" i="4"/>
  <c r="N61" i="7"/>
  <c r="L9" i="3"/>
  <c r="L47" i="21"/>
  <c r="A45" i="26" l="1"/>
  <c r="B45" i="26"/>
  <c r="C45" i="26"/>
  <c r="D45" i="26"/>
  <c r="F45" i="26"/>
  <c r="G45" i="26"/>
  <c r="H45" i="26"/>
  <c r="I45" i="26"/>
  <c r="J45" i="26"/>
  <c r="K45" i="26"/>
  <c r="L45" i="26"/>
  <c r="M45" i="26"/>
  <c r="O45" i="26"/>
  <c r="P45" i="26"/>
  <c r="Q45" i="26"/>
  <c r="R45" i="26"/>
  <c r="S45" i="26"/>
  <c r="T45" i="26"/>
  <c r="U45" i="26"/>
  <c r="I43" i="26"/>
  <c r="I44" i="26"/>
  <c r="W45" i="26" l="1"/>
  <c r="A43" i="26"/>
  <c r="B43" i="26"/>
  <c r="C43" i="26"/>
  <c r="D43" i="26"/>
  <c r="F43" i="26"/>
  <c r="G43" i="26"/>
  <c r="H43" i="26"/>
  <c r="J43" i="26"/>
  <c r="W43" i="26" s="1"/>
  <c r="K43" i="26"/>
  <c r="M43" i="26"/>
  <c r="O43" i="26"/>
  <c r="P43" i="26"/>
  <c r="Q43" i="26"/>
  <c r="R43" i="26"/>
  <c r="S43" i="26"/>
  <c r="T43" i="26"/>
  <c r="U43" i="26"/>
  <c r="A44" i="26"/>
  <c r="B44" i="26"/>
  <c r="C44" i="26"/>
  <c r="D44" i="26"/>
  <c r="E44" i="26"/>
  <c r="F44" i="26"/>
  <c r="G44" i="26"/>
  <c r="H44" i="26"/>
  <c r="J44" i="26"/>
  <c r="W44" i="26" s="1"/>
  <c r="K44" i="26"/>
  <c r="M44" i="26"/>
  <c r="O44" i="26"/>
  <c r="Q44" i="26"/>
  <c r="R44" i="26"/>
  <c r="S44" i="26"/>
  <c r="T44" i="26"/>
  <c r="U44" i="26"/>
  <c r="A39" i="26" l="1"/>
  <c r="B39" i="26"/>
  <c r="C39" i="26"/>
  <c r="D39" i="26"/>
  <c r="F39" i="26"/>
  <c r="G39" i="26"/>
  <c r="H39" i="26"/>
  <c r="I39" i="26"/>
  <c r="J39" i="26"/>
  <c r="K39" i="26"/>
  <c r="L39" i="26"/>
  <c r="M39" i="26"/>
  <c r="N39" i="26"/>
  <c r="O39" i="26"/>
  <c r="P39" i="26"/>
  <c r="Q39" i="26"/>
  <c r="R39" i="26"/>
  <c r="S39" i="26"/>
  <c r="T39" i="26"/>
  <c r="U39" i="26"/>
  <c r="W39" i="26" l="1"/>
  <c r="A41" i="26"/>
  <c r="B41" i="26"/>
  <c r="C41" i="26"/>
  <c r="D41" i="26"/>
  <c r="F41" i="26"/>
  <c r="G41" i="26"/>
  <c r="H41" i="26"/>
  <c r="I41" i="26"/>
  <c r="J41" i="26"/>
  <c r="K41" i="26"/>
  <c r="L41" i="26"/>
  <c r="M41" i="26"/>
  <c r="N41" i="26"/>
  <c r="O41" i="26"/>
  <c r="P41" i="26"/>
  <c r="Q41" i="26"/>
  <c r="R41" i="26"/>
  <c r="S41" i="26"/>
  <c r="T41" i="26"/>
  <c r="U41" i="26"/>
  <c r="W41" i="26" l="1"/>
  <c r="A40" i="26"/>
  <c r="B40" i="26"/>
  <c r="C40" i="26"/>
  <c r="D40" i="26"/>
  <c r="F40" i="26"/>
  <c r="G40" i="26"/>
  <c r="H40" i="26"/>
  <c r="I40" i="26"/>
  <c r="J40" i="26"/>
  <c r="K40" i="26"/>
  <c r="L40" i="26"/>
  <c r="M40" i="26"/>
  <c r="N40" i="26"/>
  <c r="O40" i="26"/>
  <c r="P40" i="26"/>
  <c r="Q40" i="26"/>
  <c r="R40" i="26"/>
  <c r="S40" i="26"/>
  <c r="T40" i="26"/>
  <c r="U40" i="26"/>
  <c r="A36" i="26"/>
  <c r="B36" i="26"/>
  <c r="C36" i="26"/>
  <c r="D36" i="26"/>
  <c r="F36" i="26"/>
  <c r="G36" i="26"/>
  <c r="H36" i="26"/>
  <c r="I36" i="26"/>
  <c r="J36" i="26"/>
  <c r="K36" i="26"/>
  <c r="L36" i="26"/>
  <c r="M36" i="26"/>
  <c r="N36" i="26"/>
  <c r="O36" i="26"/>
  <c r="P36" i="26"/>
  <c r="Q36" i="26"/>
  <c r="R36" i="26"/>
  <c r="S36" i="26"/>
  <c r="T36" i="26"/>
  <c r="U36" i="26"/>
  <c r="A37" i="26"/>
  <c r="B37" i="26"/>
  <c r="C37" i="26"/>
  <c r="D37" i="26"/>
  <c r="E37" i="26"/>
  <c r="F37" i="26"/>
  <c r="G37" i="26"/>
  <c r="H37" i="26"/>
  <c r="I37" i="26"/>
  <c r="J37" i="26"/>
  <c r="K37" i="26"/>
  <c r="M37" i="26"/>
  <c r="O37" i="26"/>
  <c r="P37" i="26"/>
  <c r="Q37" i="26"/>
  <c r="R37" i="26"/>
  <c r="S37" i="26"/>
  <c r="T37" i="26"/>
  <c r="U37" i="26"/>
  <c r="A38" i="26"/>
  <c r="B38" i="26"/>
  <c r="C38" i="26"/>
  <c r="D38" i="26"/>
  <c r="E38" i="26"/>
  <c r="F38" i="26"/>
  <c r="G38" i="26"/>
  <c r="H38" i="26"/>
  <c r="I38" i="26"/>
  <c r="J38" i="26"/>
  <c r="K38" i="26"/>
  <c r="L38" i="26"/>
  <c r="M38" i="26"/>
  <c r="O38" i="26"/>
  <c r="P38" i="26"/>
  <c r="Q38" i="26"/>
  <c r="R38" i="26"/>
  <c r="S38" i="26"/>
  <c r="T38" i="26"/>
  <c r="U38" i="26"/>
  <c r="A35" i="26"/>
  <c r="B35" i="26"/>
  <c r="C35" i="26"/>
  <c r="D35" i="26"/>
  <c r="E35" i="26"/>
  <c r="F35" i="26"/>
  <c r="G35" i="26"/>
  <c r="H35" i="26"/>
  <c r="I35" i="26"/>
  <c r="J35" i="26"/>
  <c r="K35" i="26"/>
  <c r="L35" i="26"/>
  <c r="M35" i="26"/>
  <c r="O35" i="26"/>
  <c r="Q35" i="26"/>
  <c r="R35" i="26"/>
  <c r="S35" i="26"/>
  <c r="T35" i="26"/>
  <c r="U35" i="26"/>
  <c r="W36" i="26" l="1"/>
  <c r="W37" i="26"/>
  <c r="W38" i="26"/>
  <c r="W40" i="26"/>
  <c r="W35" i="26"/>
  <c r="N105" i="18" l="1"/>
  <c r="L130" i="18"/>
  <c r="L44" i="26" s="1"/>
  <c r="N130" i="18"/>
  <c r="N44" i="26" s="1"/>
  <c r="L104" i="18"/>
  <c r="L105" i="18"/>
  <c r="U27" i="26" l="1"/>
  <c r="T27" i="26"/>
  <c r="S27" i="26"/>
  <c r="R27" i="26"/>
  <c r="Q27" i="26"/>
  <c r="P27" i="26"/>
  <c r="O27" i="26"/>
  <c r="M27" i="26"/>
  <c r="L27" i="26"/>
  <c r="K27" i="26"/>
  <c r="J27" i="26"/>
  <c r="I27" i="26"/>
  <c r="H27" i="26"/>
  <c r="G27" i="26"/>
  <c r="F27" i="26"/>
  <c r="D27" i="26"/>
  <c r="C27" i="26"/>
  <c r="B27" i="26"/>
  <c r="A27" i="26"/>
  <c r="U28" i="26"/>
  <c r="T28" i="26"/>
  <c r="S28" i="26"/>
  <c r="R28" i="26"/>
  <c r="Q28" i="26"/>
  <c r="O28" i="26"/>
  <c r="N28" i="26"/>
  <c r="M28" i="26"/>
  <c r="L28" i="26"/>
  <c r="K28" i="26"/>
  <c r="J28" i="26"/>
  <c r="I28" i="26"/>
  <c r="H28" i="26"/>
  <c r="G28" i="26"/>
  <c r="F28" i="26"/>
  <c r="E28" i="26"/>
  <c r="D28" i="26"/>
  <c r="C28" i="26"/>
  <c r="B28" i="26"/>
  <c r="A28" i="26"/>
  <c r="U29" i="26"/>
  <c r="T29" i="26"/>
  <c r="S29" i="26"/>
  <c r="R29" i="26"/>
  <c r="Q29" i="26"/>
  <c r="P29" i="26"/>
  <c r="O29" i="26"/>
  <c r="N29" i="26"/>
  <c r="M29" i="26"/>
  <c r="K29" i="26"/>
  <c r="J29" i="26"/>
  <c r="I29" i="26"/>
  <c r="H29" i="26"/>
  <c r="G29" i="26"/>
  <c r="F29" i="26"/>
  <c r="D29" i="26"/>
  <c r="C29" i="26"/>
  <c r="B29" i="26"/>
  <c r="A29" i="26"/>
  <c r="U31" i="26"/>
  <c r="T31" i="26"/>
  <c r="S31" i="26"/>
  <c r="R31" i="26"/>
  <c r="Q31" i="26"/>
  <c r="P31" i="26"/>
  <c r="O31" i="26"/>
  <c r="N31" i="26"/>
  <c r="M31" i="26"/>
  <c r="L31" i="26"/>
  <c r="K31" i="26"/>
  <c r="J31" i="26"/>
  <c r="I31" i="26"/>
  <c r="H31" i="26"/>
  <c r="G31" i="26"/>
  <c r="F31" i="26"/>
  <c r="D31" i="26"/>
  <c r="C31" i="26"/>
  <c r="B31" i="26"/>
  <c r="A31" i="26"/>
  <c r="U33" i="26"/>
  <c r="T33" i="26"/>
  <c r="S33" i="26"/>
  <c r="R33" i="26"/>
  <c r="Q33" i="26"/>
  <c r="P33" i="26"/>
  <c r="O33" i="26"/>
  <c r="N33" i="26"/>
  <c r="M33" i="26"/>
  <c r="L33" i="26"/>
  <c r="K33" i="26"/>
  <c r="J33" i="26"/>
  <c r="I33" i="26"/>
  <c r="H33" i="26"/>
  <c r="G33" i="26"/>
  <c r="F33" i="26"/>
  <c r="D33" i="26"/>
  <c r="C33" i="26"/>
  <c r="B33" i="26"/>
  <c r="A33" i="26"/>
  <c r="U26" i="26"/>
  <c r="T26" i="26"/>
  <c r="S26" i="26"/>
  <c r="R26" i="26"/>
  <c r="Q26" i="26"/>
  <c r="P26" i="26"/>
  <c r="O26" i="26"/>
  <c r="N26" i="26"/>
  <c r="M26" i="26"/>
  <c r="K26" i="26"/>
  <c r="J26" i="26"/>
  <c r="I26" i="26"/>
  <c r="H26" i="26"/>
  <c r="G26" i="26"/>
  <c r="F26" i="26"/>
  <c r="D26" i="26"/>
  <c r="C26" i="26"/>
  <c r="B26" i="26"/>
  <c r="A26" i="26"/>
  <c r="U24" i="26"/>
  <c r="T24" i="26"/>
  <c r="S24" i="26"/>
  <c r="R24" i="26"/>
  <c r="Q24" i="26"/>
  <c r="P24" i="26"/>
  <c r="O24" i="26"/>
  <c r="M24" i="26"/>
  <c r="L24" i="26"/>
  <c r="K24" i="26"/>
  <c r="J24" i="26"/>
  <c r="I24" i="26"/>
  <c r="H24" i="26"/>
  <c r="G24" i="26"/>
  <c r="F24" i="26"/>
  <c r="E24" i="26"/>
  <c r="D24" i="26"/>
  <c r="C24" i="26"/>
  <c r="B24" i="26"/>
  <c r="A24" i="26"/>
  <c r="U23" i="26"/>
  <c r="T23" i="26"/>
  <c r="S23" i="26"/>
  <c r="R23" i="26"/>
  <c r="Q23" i="26"/>
  <c r="P23" i="26"/>
  <c r="O23" i="26"/>
  <c r="N23" i="26"/>
  <c r="M23" i="26"/>
  <c r="L23" i="26"/>
  <c r="K23" i="26"/>
  <c r="J23" i="26"/>
  <c r="I23" i="26"/>
  <c r="H23" i="26"/>
  <c r="G23" i="26"/>
  <c r="F23" i="26"/>
  <c r="D23" i="26"/>
  <c r="C23" i="26"/>
  <c r="B23" i="26"/>
  <c r="A23" i="26"/>
  <c r="U22" i="26"/>
  <c r="T22" i="26"/>
  <c r="S22" i="26"/>
  <c r="R22" i="26"/>
  <c r="Q22" i="26"/>
  <c r="P22" i="26"/>
  <c r="O22" i="26"/>
  <c r="N22" i="26"/>
  <c r="M22" i="26"/>
  <c r="L22" i="26"/>
  <c r="K22" i="26"/>
  <c r="J22" i="26"/>
  <c r="I22" i="26"/>
  <c r="H22" i="26"/>
  <c r="G22" i="26"/>
  <c r="F22" i="26"/>
  <c r="D22" i="26"/>
  <c r="C22" i="26"/>
  <c r="B22" i="26"/>
  <c r="A22" i="26"/>
  <c r="U21" i="26"/>
  <c r="T21" i="26"/>
  <c r="S21" i="26"/>
  <c r="R21" i="26"/>
  <c r="Q21" i="26"/>
  <c r="P21" i="26"/>
  <c r="O21" i="26"/>
  <c r="N21" i="26"/>
  <c r="M21" i="26"/>
  <c r="L21" i="26"/>
  <c r="K21" i="26"/>
  <c r="J21" i="26"/>
  <c r="I21" i="26"/>
  <c r="H21" i="26"/>
  <c r="G21" i="26"/>
  <c r="F21" i="26"/>
  <c r="D21" i="26"/>
  <c r="C21" i="26"/>
  <c r="B21" i="26"/>
  <c r="A21" i="26"/>
  <c r="U12" i="26"/>
  <c r="T12" i="26"/>
  <c r="S12" i="26"/>
  <c r="R12" i="26"/>
  <c r="Q12" i="26"/>
  <c r="P12" i="26"/>
  <c r="O12" i="26"/>
  <c r="M12" i="26"/>
  <c r="K12" i="26"/>
  <c r="J12" i="26"/>
  <c r="I12" i="26"/>
  <c r="H12" i="26"/>
  <c r="G12" i="26"/>
  <c r="F12" i="26"/>
  <c r="D12" i="26"/>
  <c r="C12" i="26"/>
  <c r="B12" i="26"/>
  <c r="A12" i="26"/>
  <c r="U13" i="26"/>
  <c r="T13" i="26"/>
  <c r="S13" i="26"/>
  <c r="R13" i="26"/>
  <c r="Q13" i="26"/>
  <c r="P13" i="26"/>
  <c r="O13" i="26"/>
  <c r="N13" i="26"/>
  <c r="M13" i="26"/>
  <c r="L13" i="26"/>
  <c r="K13" i="26"/>
  <c r="J13" i="26"/>
  <c r="I13" i="26"/>
  <c r="H13" i="26"/>
  <c r="G13" i="26"/>
  <c r="F13" i="26"/>
  <c r="D13" i="26"/>
  <c r="C13" i="26"/>
  <c r="B13" i="26"/>
  <c r="A13" i="26"/>
  <c r="W14" i="26"/>
  <c r="U14" i="26"/>
  <c r="T14" i="26"/>
  <c r="S14" i="26"/>
  <c r="R14" i="26"/>
  <c r="Q14" i="26"/>
  <c r="P14" i="26"/>
  <c r="O14" i="26"/>
  <c r="M14" i="26"/>
  <c r="K14" i="26"/>
  <c r="H14" i="26"/>
  <c r="G14" i="26"/>
  <c r="F14" i="26"/>
  <c r="E14" i="26"/>
  <c r="D14" i="26"/>
  <c r="C14" i="26"/>
  <c r="B14" i="26"/>
  <c r="A14" i="26"/>
  <c r="U15" i="26"/>
  <c r="T15" i="26"/>
  <c r="S15" i="26"/>
  <c r="R15" i="26"/>
  <c r="Q15" i="26"/>
  <c r="P15" i="26"/>
  <c r="O15" i="26"/>
  <c r="M15" i="26"/>
  <c r="L15" i="26"/>
  <c r="K15" i="26"/>
  <c r="J15" i="26"/>
  <c r="I15" i="26"/>
  <c r="H15" i="26"/>
  <c r="G15" i="26"/>
  <c r="F15" i="26"/>
  <c r="E15" i="26"/>
  <c r="D15" i="26"/>
  <c r="C15" i="26"/>
  <c r="B15" i="26"/>
  <c r="A15" i="26"/>
  <c r="U16" i="26"/>
  <c r="T16" i="26"/>
  <c r="S16" i="26"/>
  <c r="R16" i="26"/>
  <c r="Q16" i="26"/>
  <c r="P16" i="26"/>
  <c r="O16" i="26"/>
  <c r="M16" i="26"/>
  <c r="K16" i="26"/>
  <c r="J16" i="26"/>
  <c r="I16" i="26"/>
  <c r="H16" i="26"/>
  <c r="G16" i="26"/>
  <c r="F16" i="26"/>
  <c r="D16" i="26"/>
  <c r="C16" i="26"/>
  <c r="B16" i="26"/>
  <c r="A16" i="26"/>
  <c r="U17" i="26"/>
  <c r="T17" i="26"/>
  <c r="S17" i="26"/>
  <c r="R17" i="26"/>
  <c r="Q17" i="26"/>
  <c r="P17" i="26"/>
  <c r="O17" i="26"/>
  <c r="M17" i="26"/>
  <c r="K17" i="26"/>
  <c r="J17" i="26"/>
  <c r="I17" i="26"/>
  <c r="H17" i="26"/>
  <c r="G17" i="26"/>
  <c r="F17" i="26"/>
  <c r="E17" i="26"/>
  <c r="D17" i="26"/>
  <c r="C17" i="26"/>
  <c r="B17" i="26"/>
  <c r="A17" i="26"/>
  <c r="U18" i="26"/>
  <c r="T18" i="26"/>
  <c r="S18" i="26"/>
  <c r="R18" i="26"/>
  <c r="Q18" i="26"/>
  <c r="P18" i="26"/>
  <c r="O18" i="26"/>
  <c r="M18" i="26"/>
  <c r="L18" i="26"/>
  <c r="K18" i="26"/>
  <c r="J18" i="26"/>
  <c r="I18" i="26"/>
  <c r="H18" i="26"/>
  <c r="G18" i="26"/>
  <c r="F18" i="26"/>
  <c r="D18" i="26"/>
  <c r="C18" i="26"/>
  <c r="B18" i="26"/>
  <c r="A18" i="26"/>
  <c r="U19" i="26"/>
  <c r="T19" i="26"/>
  <c r="S19" i="26"/>
  <c r="R19" i="26"/>
  <c r="Q19" i="26"/>
  <c r="P19" i="26"/>
  <c r="O19" i="26"/>
  <c r="M19" i="26"/>
  <c r="K19" i="26"/>
  <c r="J19" i="26"/>
  <c r="I19" i="26"/>
  <c r="H19" i="26"/>
  <c r="G19" i="26"/>
  <c r="F19" i="26"/>
  <c r="E19" i="26"/>
  <c r="D19" i="26"/>
  <c r="C19" i="26"/>
  <c r="B19" i="26"/>
  <c r="A19" i="26"/>
  <c r="A2" i="26"/>
  <c r="W31" i="26" l="1"/>
  <c r="W28" i="26"/>
  <c r="W19" i="26"/>
  <c r="W15" i="26"/>
  <c r="W22" i="26"/>
  <c r="W29" i="26"/>
  <c r="W16" i="26"/>
  <c r="W18" i="26"/>
  <c r="W13" i="26"/>
  <c r="W23" i="26"/>
  <c r="W24" i="26"/>
  <c r="W12" i="26"/>
  <c r="W17" i="26"/>
  <c r="W21" i="26"/>
  <c r="W33" i="26"/>
  <c r="W27" i="26"/>
  <c r="W26" i="26"/>
  <c r="L122" i="18" l="1"/>
  <c r="L14" i="26" s="1"/>
  <c r="P130" i="18" l="1"/>
  <c r="P44" i="26" s="1"/>
  <c r="P28" i="26" l="1"/>
  <c r="S19" i="14"/>
  <c r="N87" i="18" l="1"/>
  <c r="L87" i="18"/>
  <c r="E87" i="18" l="1"/>
  <c r="N33" i="18" l="1"/>
  <c r="L22" i="21"/>
  <c r="N22" i="21"/>
  <c r="N8" i="21"/>
  <c r="L59" i="21"/>
  <c r="N37" i="7"/>
  <c r="N16" i="26" s="1"/>
  <c r="L46" i="3"/>
  <c r="L35" i="5"/>
  <c r="L82" i="5"/>
  <c r="L21" i="4"/>
  <c r="L18" i="4"/>
  <c r="L11" i="4"/>
  <c r="N40" i="4"/>
  <c r="N32" i="3"/>
  <c r="N75" i="18"/>
  <c r="N17" i="21"/>
  <c r="N63" i="18"/>
  <c r="L15" i="21"/>
  <c r="L11" i="14"/>
  <c r="N19" i="21"/>
  <c r="L17" i="14"/>
  <c r="N37" i="18"/>
  <c r="N20" i="21"/>
  <c r="L38" i="14"/>
  <c r="N28" i="21"/>
  <c r="L24" i="7"/>
  <c r="N107" i="7"/>
  <c r="L23" i="21"/>
  <c r="L48" i="7"/>
  <c r="L114" i="18"/>
  <c r="A105" i="24" l="1"/>
  <c r="B105" i="24"/>
  <c r="C105" i="24"/>
  <c r="D105" i="24"/>
  <c r="E105" i="24"/>
  <c r="F105" i="24"/>
  <c r="G105" i="24"/>
  <c r="H105" i="24"/>
  <c r="I105" i="24"/>
  <c r="J105" i="24"/>
  <c r="K105" i="24"/>
  <c r="L105" i="24"/>
  <c r="M105" i="24"/>
  <c r="O105" i="24"/>
  <c r="P105" i="24"/>
  <c r="Q105" i="24"/>
  <c r="R105" i="24"/>
  <c r="S105" i="24"/>
  <c r="T105" i="24"/>
  <c r="U105" i="24"/>
  <c r="N13" i="4" l="1"/>
  <c r="N78" i="3"/>
  <c r="L38" i="7"/>
  <c r="L25" i="18"/>
  <c r="A103" i="25"/>
  <c r="B103" i="25"/>
  <c r="C103" i="25"/>
  <c r="D103" i="25"/>
  <c r="E103" i="25"/>
  <c r="F103" i="25"/>
  <c r="G103" i="25"/>
  <c r="H103" i="25"/>
  <c r="I103" i="25"/>
  <c r="J103" i="25"/>
  <c r="K103" i="25"/>
  <c r="L103" i="25"/>
  <c r="M103" i="25"/>
  <c r="O103" i="25"/>
  <c r="P103" i="25"/>
  <c r="Q103" i="25"/>
  <c r="R103" i="25"/>
  <c r="S103" i="25"/>
  <c r="T103" i="25"/>
  <c r="U103" i="25"/>
  <c r="A208" i="25"/>
  <c r="B208" i="25"/>
  <c r="C208" i="25"/>
  <c r="D208" i="25"/>
  <c r="F208" i="25"/>
  <c r="G208" i="25"/>
  <c r="H208" i="25"/>
  <c r="I208" i="25"/>
  <c r="J208" i="25"/>
  <c r="K208" i="25"/>
  <c r="M208" i="25"/>
  <c r="O208" i="25"/>
  <c r="P208" i="25"/>
  <c r="Q208" i="25"/>
  <c r="R208" i="25"/>
  <c r="S208" i="25"/>
  <c r="T208" i="25"/>
  <c r="U208" i="25"/>
  <c r="N102" i="18"/>
  <c r="L49" i="21"/>
  <c r="N36" i="7"/>
  <c r="L127" i="18" l="1"/>
  <c r="N75" i="7"/>
  <c r="L58" i="21"/>
  <c r="L113" i="18"/>
  <c r="N156" i="18"/>
  <c r="L6" i="21"/>
  <c r="N34" i="3"/>
  <c r="L64" i="21"/>
  <c r="N57" i="18"/>
  <c r="N37" i="26" s="1"/>
  <c r="L69" i="7"/>
  <c r="L34" i="4"/>
  <c r="L53" i="7"/>
  <c r="L80" i="7"/>
  <c r="L72" i="7"/>
  <c r="L40" i="5"/>
  <c r="L137" i="18"/>
  <c r="N18" i="3"/>
  <c r="L42" i="21"/>
  <c r="L75" i="18"/>
  <c r="N11" i="4"/>
  <c r="L55" i="18"/>
  <c r="N74" i="5" l="1"/>
  <c r="N68" i="3" l="1"/>
  <c r="N122" i="18" l="1"/>
  <c r="N98" i="18"/>
  <c r="L97" i="18"/>
  <c r="N14" i="26" l="1"/>
  <c r="N103" i="25"/>
  <c r="P88" i="7"/>
  <c r="P63" i="7"/>
  <c r="N125" i="18" l="1"/>
  <c r="L124" i="18"/>
  <c r="L171" i="18"/>
  <c r="N93" i="7" l="1"/>
  <c r="L63" i="21" l="1"/>
  <c r="L43" i="26" s="1"/>
  <c r="L74" i="5"/>
  <c r="L28" i="21"/>
  <c r="L40" i="21"/>
  <c r="L65" i="18"/>
  <c r="L36" i="7"/>
  <c r="N117" i="7"/>
  <c r="L143" i="18"/>
  <c r="L43" i="18"/>
  <c r="L15" i="3"/>
  <c r="L103" i="7"/>
  <c r="N58" i="21"/>
  <c r="L47" i="18"/>
  <c r="L70" i="5"/>
  <c r="L42" i="14"/>
  <c r="L38" i="3"/>
  <c r="L17" i="18" l="1"/>
  <c r="L16" i="3"/>
  <c r="L104" i="5"/>
  <c r="L100" i="5"/>
  <c r="L67" i="5"/>
  <c r="L7" i="3"/>
  <c r="L150" i="18"/>
  <c r="L22" i="7" l="1"/>
  <c r="L52" i="21"/>
  <c r="L31" i="21"/>
  <c r="L52" i="3"/>
  <c r="N54" i="18" l="1"/>
  <c r="L95" i="5"/>
  <c r="L59" i="3"/>
  <c r="N19" i="3"/>
  <c r="N18" i="26" s="1"/>
  <c r="N78" i="18"/>
  <c r="N12" i="26" s="1"/>
  <c r="L14" i="4"/>
  <c r="L101" i="5"/>
  <c r="N92" i="7"/>
  <c r="L115" i="18"/>
  <c r="L105" i="7"/>
  <c r="N159" i="18"/>
  <c r="N39" i="7"/>
  <c r="L40" i="14"/>
  <c r="P65" i="21" l="1"/>
  <c r="L54" i="3"/>
  <c r="L63" i="3"/>
  <c r="L53" i="3"/>
  <c r="L52" i="7"/>
  <c r="L10" i="4"/>
  <c r="N47" i="4" l="1"/>
  <c r="L83" i="18" l="1"/>
  <c r="L18" i="21"/>
  <c r="N15" i="5"/>
  <c r="L71" i="18"/>
  <c r="L86" i="18"/>
  <c r="L29" i="4"/>
  <c r="L81" i="5"/>
  <c r="N24" i="3"/>
  <c r="L50" i="3"/>
  <c r="N16" i="21"/>
  <c r="N45" i="26" s="1"/>
  <c r="N76" i="3"/>
  <c r="N39" i="3"/>
  <c r="N63" i="21" l="1"/>
  <c r="N43" i="26" s="1"/>
  <c r="N118" i="7" l="1"/>
  <c r="N208" i="25" s="1"/>
  <c r="L118" i="7"/>
  <c r="L208" i="25" s="1"/>
  <c r="L78" i="5"/>
  <c r="L51" i="18"/>
  <c r="N36" i="4"/>
  <c r="N61" i="3"/>
  <c r="L14" i="5"/>
  <c r="N43" i="7"/>
  <c r="L97" i="7"/>
  <c r="N12" i="18"/>
  <c r="L42" i="3"/>
  <c r="L106" i="5"/>
  <c r="L24" i="3"/>
  <c r="L9" i="14"/>
  <c r="L23" i="3"/>
  <c r="N150" i="18"/>
  <c r="N10" i="21"/>
  <c r="N15" i="21"/>
  <c r="N7" i="21"/>
  <c r="N7" i="3"/>
  <c r="N20" i="4"/>
  <c r="L34" i="5"/>
  <c r="L119" i="7"/>
  <c r="N119" i="7"/>
  <c r="N15" i="26" l="1"/>
  <c r="E119" i="7"/>
  <c r="E118" i="7"/>
  <c r="E208" i="25" s="1"/>
  <c r="G117" i="7"/>
  <c r="E117" i="7"/>
  <c r="N116" i="7"/>
  <c r="L116" i="7"/>
  <c r="N77" i="5"/>
  <c r="L42" i="4"/>
  <c r="L43" i="21"/>
  <c r="L78" i="18" l="1"/>
  <c r="L12" i="26" s="1"/>
  <c r="N44" i="21" l="1"/>
  <c r="N22" i="14"/>
  <c r="L53" i="5"/>
  <c r="L56" i="21"/>
  <c r="N22" i="18"/>
  <c r="N25" i="18"/>
  <c r="N40" i="3"/>
  <c r="N8" i="14"/>
  <c r="L10" i="21"/>
  <c r="L96" i="5"/>
  <c r="N21" i="18"/>
  <c r="L24" i="4"/>
  <c r="N51" i="21"/>
  <c r="L47" i="4"/>
  <c r="N19" i="4"/>
  <c r="N6" i="21"/>
  <c r="L45" i="18"/>
  <c r="L18" i="14"/>
  <c r="N54" i="3"/>
  <c r="L72" i="3"/>
  <c r="N90" i="5"/>
  <c r="L9" i="4"/>
  <c r="N25" i="7"/>
  <c r="L32" i="21"/>
  <c r="N25" i="3"/>
  <c r="N22" i="4"/>
  <c r="L65" i="5"/>
  <c r="N43" i="4"/>
  <c r="L11" i="3"/>
  <c r="L32" i="3"/>
  <c r="L37" i="7"/>
  <c r="L16" i="26" s="1"/>
  <c r="N59" i="3"/>
  <c r="N13" i="14"/>
  <c r="N105" i="7"/>
  <c r="L16" i="5"/>
  <c r="N70" i="7"/>
  <c r="L36" i="18"/>
  <c r="N56" i="21"/>
  <c r="L37" i="18"/>
  <c r="L60" i="18"/>
  <c r="L71" i="3"/>
  <c r="N58" i="3"/>
  <c r="L76" i="3"/>
  <c r="L39" i="3"/>
  <c r="L10" i="5"/>
  <c r="L51" i="21"/>
  <c r="L73" i="18"/>
  <c r="L184" i="18"/>
  <c r="N24" i="21"/>
  <c r="L7" i="14"/>
  <c r="L12" i="4"/>
  <c r="N20" i="3"/>
  <c r="L35" i="3"/>
  <c r="N35" i="5"/>
  <c r="N106" i="5"/>
  <c r="N100" i="5"/>
  <c r="L46" i="7"/>
  <c r="N88" i="5"/>
  <c r="L128" i="18" l="1"/>
  <c r="N94" i="7"/>
  <c r="L91" i="7"/>
  <c r="E77" i="18" l="1"/>
  <c r="E13" i="26" s="1"/>
  <c r="E78" i="18"/>
  <c r="E12" i="26" s="1"/>
  <c r="N32" i="21" l="1"/>
  <c r="L24" i="18"/>
  <c r="L29" i="14"/>
  <c r="N84" i="7"/>
  <c r="L84" i="7"/>
  <c r="L83" i="7"/>
  <c r="N83" i="7"/>
  <c r="L13" i="3"/>
  <c r="N113" i="18" l="1"/>
  <c r="L54" i="18"/>
  <c r="N100" i="7"/>
  <c r="N14" i="21"/>
  <c r="L29" i="3"/>
  <c r="L66" i="18"/>
  <c r="N73" i="18"/>
  <c r="N34" i="4"/>
  <c r="L87" i="7"/>
  <c r="N14" i="3"/>
  <c r="N31" i="3"/>
  <c r="N38" i="4"/>
  <c r="N95" i="7"/>
  <c r="A410" i="25" l="1"/>
  <c r="B410" i="25"/>
  <c r="C410" i="25"/>
  <c r="D410" i="25"/>
  <c r="F410" i="25"/>
  <c r="G410" i="25"/>
  <c r="H410" i="25"/>
  <c r="I410" i="25"/>
  <c r="J410" i="25"/>
  <c r="K410" i="25"/>
  <c r="L410" i="25"/>
  <c r="M410" i="25"/>
  <c r="N410" i="25"/>
  <c r="O410" i="25"/>
  <c r="Q410" i="25"/>
  <c r="R410" i="25"/>
  <c r="S410" i="25"/>
  <c r="T410" i="25"/>
  <c r="U410" i="25"/>
  <c r="A411" i="25"/>
  <c r="B411" i="25"/>
  <c r="C411" i="25"/>
  <c r="D411" i="25"/>
  <c r="F411" i="25"/>
  <c r="G411" i="25"/>
  <c r="H411" i="25"/>
  <c r="I411" i="25"/>
  <c r="J411" i="25"/>
  <c r="K411" i="25"/>
  <c r="L411" i="25"/>
  <c r="M411" i="25"/>
  <c r="N411" i="25"/>
  <c r="O411" i="25"/>
  <c r="P411" i="25"/>
  <c r="Q411" i="25"/>
  <c r="R411" i="25"/>
  <c r="S411" i="25"/>
  <c r="T411" i="25"/>
  <c r="U411" i="25"/>
  <c r="A111" i="24"/>
  <c r="B111" i="24"/>
  <c r="C111" i="24"/>
  <c r="D111" i="24"/>
  <c r="E111" i="24"/>
  <c r="F111" i="24"/>
  <c r="G111" i="24"/>
  <c r="H111" i="24"/>
  <c r="I111" i="24"/>
  <c r="J111" i="24"/>
  <c r="K111" i="24"/>
  <c r="L111" i="24"/>
  <c r="M111" i="24"/>
  <c r="N111" i="24"/>
  <c r="O111" i="24"/>
  <c r="P111" i="24"/>
  <c r="Q111" i="24"/>
  <c r="R111" i="24"/>
  <c r="S111" i="24"/>
  <c r="T111" i="24"/>
  <c r="U111" i="24"/>
  <c r="A113" i="24"/>
  <c r="B113" i="24"/>
  <c r="C113" i="24"/>
  <c r="D113" i="24"/>
  <c r="E113" i="24"/>
  <c r="F113" i="24"/>
  <c r="G113" i="24"/>
  <c r="H113" i="24"/>
  <c r="I113" i="24"/>
  <c r="J113" i="24"/>
  <c r="K113" i="24"/>
  <c r="L113" i="24"/>
  <c r="M113" i="24"/>
  <c r="N113" i="24"/>
  <c r="O113" i="24"/>
  <c r="P113" i="24"/>
  <c r="Q113" i="24"/>
  <c r="R113" i="24"/>
  <c r="S113" i="24"/>
  <c r="T113" i="24"/>
  <c r="U113" i="24"/>
  <c r="A112" i="24"/>
  <c r="B112" i="24"/>
  <c r="C112" i="24"/>
  <c r="D112" i="24"/>
  <c r="E112" i="24"/>
  <c r="F112" i="24"/>
  <c r="G112" i="24"/>
  <c r="H112" i="24"/>
  <c r="I112" i="24"/>
  <c r="J112" i="24"/>
  <c r="K112" i="24"/>
  <c r="M112" i="24"/>
  <c r="O112" i="24"/>
  <c r="P112" i="24"/>
  <c r="Q112" i="24"/>
  <c r="R112" i="24"/>
  <c r="S112" i="24"/>
  <c r="T112" i="24"/>
  <c r="U112" i="24"/>
  <c r="A19" i="24"/>
  <c r="B19" i="24"/>
  <c r="C19" i="24"/>
  <c r="D19" i="24"/>
  <c r="E19" i="24"/>
  <c r="F19" i="24"/>
  <c r="G19" i="24"/>
  <c r="H19" i="24"/>
  <c r="I19" i="24"/>
  <c r="J19" i="24"/>
  <c r="K19" i="24"/>
  <c r="L19" i="24"/>
  <c r="M19" i="24"/>
  <c r="N19" i="24"/>
  <c r="O19" i="24"/>
  <c r="P19" i="24"/>
  <c r="Q19" i="24"/>
  <c r="R19" i="24"/>
  <c r="S19" i="24"/>
  <c r="T19" i="24"/>
  <c r="U19" i="24"/>
  <c r="A20" i="24"/>
  <c r="B20" i="24"/>
  <c r="C20" i="24"/>
  <c r="D20" i="24"/>
  <c r="E20" i="24"/>
  <c r="F20" i="24"/>
  <c r="G20" i="24"/>
  <c r="H20" i="24"/>
  <c r="I20" i="24"/>
  <c r="J20" i="24"/>
  <c r="K20" i="24"/>
  <c r="M20" i="24"/>
  <c r="N20" i="24"/>
  <c r="O20" i="24"/>
  <c r="P20" i="24"/>
  <c r="Q20" i="24"/>
  <c r="R20" i="24"/>
  <c r="S20" i="24"/>
  <c r="T20" i="24"/>
  <c r="U20" i="24"/>
  <c r="A21" i="24"/>
  <c r="B21" i="24"/>
  <c r="C21" i="24"/>
  <c r="D21" i="24"/>
  <c r="E21" i="24"/>
  <c r="F21" i="24"/>
  <c r="G21" i="24"/>
  <c r="H21" i="24"/>
  <c r="I21" i="24"/>
  <c r="J21" i="24"/>
  <c r="K21" i="24"/>
  <c r="M21" i="24"/>
  <c r="O21" i="24"/>
  <c r="P21" i="24"/>
  <c r="Q21" i="24"/>
  <c r="R21" i="24"/>
  <c r="S21" i="24"/>
  <c r="T21" i="24"/>
  <c r="U21" i="24"/>
  <c r="A84" i="24"/>
  <c r="B84" i="24"/>
  <c r="C84" i="24"/>
  <c r="D84" i="24"/>
  <c r="E84" i="24"/>
  <c r="F84" i="24"/>
  <c r="G84" i="24"/>
  <c r="H84" i="24"/>
  <c r="I84" i="24"/>
  <c r="J84" i="24"/>
  <c r="K84" i="24"/>
  <c r="L84" i="24"/>
  <c r="M84" i="24"/>
  <c r="O84" i="24"/>
  <c r="P84" i="24"/>
  <c r="Q84" i="24"/>
  <c r="R84" i="24"/>
  <c r="S84" i="24"/>
  <c r="T84" i="24"/>
  <c r="U84" i="24"/>
  <c r="A57" i="24"/>
  <c r="B57" i="24"/>
  <c r="C57" i="24"/>
  <c r="D57" i="24"/>
  <c r="E57" i="24"/>
  <c r="F57" i="24"/>
  <c r="G57" i="24"/>
  <c r="H57" i="24"/>
  <c r="I57" i="24"/>
  <c r="J57" i="24"/>
  <c r="K57" i="24"/>
  <c r="L57" i="24"/>
  <c r="M57" i="24"/>
  <c r="O57" i="24"/>
  <c r="P57" i="24"/>
  <c r="Q57" i="24"/>
  <c r="R57" i="24"/>
  <c r="S57" i="24"/>
  <c r="T57" i="24"/>
  <c r="U57" i="24"/>
  <c r="A49" i="24"/>
  <c r="B49" i="24"/>
  <c r="C49" i="24"/>
  <c r="D49" i="24"/>
  <c r="E49" i="24"/>
  <c r="F49" i="24"/>
  <c r="G49" i="24"/>
  <c r="H49" i="24"/>
  <c r="I49" i="24"/>
  <c r="J49" i="24"/>
  <c r="K49" i="24"/>
  <c r="M49" i="24"/>
  <c r="O49" i="24"/>
  <c r="P49" i="24"/>
  <c r="Q49" i="24"/>
  <c r="R49" i="24"/>
  <c r="S49" i="24"/>
  <c r="T49" i="24"/>
  <c r="U49" i="24"/>
  <c r="A48" i="24"/>
  <c r="B48" i="24"/>
  <c r="C48" i="24"/>
  <c r="D48" i="24"/>
  <c r="E48" i="24"/>
  <c r="F48" i="24"/>
  <c r="G48" i="24"/>
  <c r="H48" i="24"/>
  <c r="I48" i="24"/>
  <c r="J48" i="24"/>
  <c r="K48" i="24"/>
  <c r="M48" i="24"/>
  <c r="O48" i="24"/>
  <c r="P48" i="24"/>
  <c r="Q48" i="24"/>
  <c r="R48" i="24"/>
  <c r="S48" i="24"/>
  <c r="T48" i="24"/>
  <c r="U48" i="24"/>
  <c r="A93" i="24"/>
  <c r="B93" i="24"/>
  <c r="C93" i="24"/>
  <c r="D93" i="24"/>
  <c r="E93" i="24"/>
  <c r="F93" i="24"/>
  <c r="G93" i="24"/>
  <c r="H93" i="24"/>
  <c r="I93" i="24"/>
  <c r="J93" i="24"/>
  <c r="K93" i="24"/>
  <c r="M93" i="24"/>
  <c r="O93" i="24"/>
  <c r="P93" i="24"/>
  <c r="Q93" i="24"/>
  <c r="R93" i="24"/>
  <c r="S93" i="24"/>
  <c r="T93" i="24"/>
  <c r="U93" i="24"/>
  <c r="A100" i="24"/>
  <c r="B100" i="24"/>
  <c r="C100" i="24"/>
  <c r="D100" i="24"/>
  <c r="E100" i="24"/>
  <c r="F100" i="24"/>
  <c r="G100" i="24"/>
  <c r="H100" i="24"/>
  <c r="I100" i="24"/>
  <c r="J100" i="24"/>
  <c r="K100" i="24"/>
  <c r="L100" i="24"/>
  <c r="M100" i="24"/>
  <c r="N100" i="24"/>
  <c r="O100" i="24"/>
  <c r="P100" i="24"/>
  <c r="Q100" i="24"/>
  <c r="R100" i="24"/>
  <c r="S100" i="24"/>
  <c r="T100" i="24"/>
  <c r="U100" i="24"/>
  <c r="A9" i="24"/>
  <c r="B9" i="24"/>
  <c r="C9" i="24"/>
  <c r="D9" i="24"/>
  <c r="E9" i="24"/>
  <c r="F9" i="24"/>
  <c r="G9" i="24"/>
  <c r="H9" i="24"/>
  <c r="I9" i="24"/>
  <c r="J9" i="24"/>
  <c r="K9" i="24"/>
  <c r="M9" i="24"/>
  <c r="O9" i="24"/>
  <c r="P9" i="24"/>
  <c r="Q9" i="24"/>
  <c r="R9" i="24"/>
  <c r="S9" i="24"/>
  <c r="T9" i="24"/>
  <c r="U9" i="24"/>
  <c r="A73" i="24"/>
  <c r="B73" i="24"/>
  <c r="C73" i="24"/>
  <c r="D73" i="24"/>
  <c r="E73" i="24"/>
  <c r="F73" i="24"/>
  <c r="G73" i="24"/>
  <c r="H73" i="24"/>
  <c r="I73" i="24"/>
  <c r="J73" i="24"/>
  <c r="K73" i="24"/>
  <c r="M73" i="24"/>
  <c r="O73" i="24"/>
  <c r="P73" i="24"/>
  <c r="Q73" i="24"/>
  <c r="R73" i="24"/>
  <c r="S73" i="24"/>
  <c r="T73" i="24"/>
  <c r="U73" i="24"/>
  <c r="A42" i="24"/>
  <c r="B42" i="24"/>
  <c r="C42" i="24"/>
  <c r="D42" i="24"/>
  <c r="E42" i="24"/>
  <c r="F42" i="24"/>
  <c r="G42" i="24"/>
  <c r="H42" i="24"/>
  <c r="I42" i="24"/>
  <c r="J42" i="24"/>
  <c r="K42" i="24"/>
  <c r="M42" i="24"/>
  <c r="O42" i="24"/>
  <c r="P42" i="24"/>
  <c r="Q42" i="24"/>
  <c r="R42" i="24"/>
  <c r="S42" i="24"/>
  <c r="T42" i="24"/>
  <c r="U42" i="24"/>
  <c r="A47" i="24"/>
  <c r="B47" i="24"/>
  <c r="C47" i="24"/>
  <c r="D47" i="24"/>
  <c r="E47" i="24"/>
  <c r="F47" i="24"/>
  <c r="G47" i="24"/>
  <c r="H47" i="24"/>
  <c r="I47" i="24"/>
  <c r="J47" i="24"/>
  <c r="K47" i="24"/>
  <c r="M47" i="24"/>
  <c r="O47" i="24"/>
  <c r="P47" i="24"/>
  <c r="Q47" i="24"/>
  <c r="R47" i="24"/>
  <c r="S47" i="24"/>
  <c r="T47" i="24"/>
  <c r="U47" i="24"/>
  <c r="A51" i="24"/>
  <c r="B51" i="24"/>
  <c r="C51" i="24"/>
  <c r="D51" i="24"/>
  <c r="E51" i="24"/>
  <c r="F51" i="24"/>
  <c r="G51" i="24"/>
  <c r="H51" i="24"/>
  <c r="I51" i="24"/>
  <c r="J51" i="24"/>
  <c r="K51" i="24"/>
  <c r="M51" i="24"/>
  <c r="O51" i="24"/>
  <c r="P51" i="24"/>
  <c r="Q51" i="24"/>
  <c r="R51" i="24"/>
  <c r="S51" i="24"/>
  <c r="T51" i="24"/>
  <c r="U51" i="24"/>
  <c r="A53" i="24"/>
  <c r="B53" i="24"/>
  <c r="C53" i="24"/>
  <c r="D53" i="24"/>
  <c r="E53" i="24"/>
  <c r="F53" i="24"/>
  <c r="G53" i="24"/>
  <c r="H53" i="24"/>
  <c r="I53" i="24"/>
  <c r="J53" i="24"/>
  <c r="K53" i="24"/>
  <c r="M53" i="24"/>
  <c r="N53" i="24"/>
  <c r="O53" i="24"/>
  <c r="P53" i="24"/>
  <c r="Q53" i="24"/>
  <c r="R53" i="24"/>
  <c r="S53" i="24"/>
  <c r="T53" i="24"/>
  <c r="U53" i="24"/>
  <c r="A68" i="24"/>
  <c r="B68" i="24"/>
  <c r="C68" i="24"/>
  <c r="D68" i="24"/>
  <c r="E68" i="24"/>
  <c r="F68" i="24"/>
  <c r="G68" i="24"/>
  <c r="H68" i="24"/>
  <c r="I68" i="24"/>
  <c r="J68" i="24"/>
  <c r="K68" i="24"/>
  <c r="M68" i="24"/>
  <c r="O68" i="24"/>
  <c r="P68" i="24"/>
  <c r="Q68" i="24"/>
  <c r="R68" i="24"/>
  <c r="S68" i="24"/>
  <c r="T68" i="24"/>
  <c r="U68" i="24"/>
  <c r="A77" i="24"/>
  <c r="B77" i="24"/>
  <c r="C77" i="24"/>
  <c r="D77" i="24"/>
  <c r="E77" i="24"/>
  <c r="F77" i="24"/>
  <c r="G77" i="24"/>
  <c r="H77" i="24"/>
  <c r="I77" i="24"/>
  <c r="J77" i="24"/>
  <c r="K77" i="24"/>
  <c r="L77" i="24"/>
  <c r="M77" i="24"/>
  <c r="O77" i="24"/>
  <c r="P77" i="24"/>
  <c r="Q77" i="24"/>
  <c r="R77" i="24"/>
  <c r="S77" i="24"/>
  <c r="T77" i="24"/>
  <c r="U77" i="24"/>
  <c r="A81" i="24"/>
  <c r="B81" i="24"/>
  <c r="C81" i="24"/>
  <c r="D81" i="24"/>
  <c r="E81" i="24"/>
  <c r="F81" i="24"/>
  <c r="G81" i="24"/>
  <c r="H81" i="24"/>
  <c r="I81" i="24"/>
  <c r="J81" i="24"/>
  <c r="K81" i="24"/>
  <c r="M81" i="24"/>
  <c r="O81" i="24"/>
  <c r="P81" i="24"/>
  <c r="Q81" i="24"/>
  <c r="R81" i="24"/>
  <c r="S81" i="24"/>
  <c r="T81" i="24"/>
  <c r="U81" i="24"/>
  <c r="A16" i="24"/>
  <c r="B16" i="24"/>
  <c r="C16" i="24"/>
  <c r="D16" i="24"/>
  <c r="E16" i="24"/>
  <c r="F16" i="24"/>
  <c r="G16" i="24"/>
  <c r="H16" i="24"/>
  <c r="I16" i="24"/>
  <c r="J16" i="24"/>
  <c r="K16" i="24"/>
  <c r="M16" i="24"/>
  <c r="O16" i="24"/>
  <c r="P16" i="24"/>
  <c r="Q16" i="24"/>
  <c r="R16" i="24"/>
  <c r="S16" i="24"/>
  <c r="T16" i="24"/>
  <c r="U16" i="24"/>
  <c r="A30" i="24"/>
  <c r="B30" i="24"/>
  <c r="C30" i="24"/>
  <c r="D30" i="24"/>
  <c r="E30" i="24"/>
  <c r="F30" i="24"/>
  <c r="G30" i="24"/>
  <c r="H30" i="24"/>
  <c r="I30" i="24"/>
  <c r="J30" i="24"/>
  <c r="K30" i="24"/>
  <c r="M30" i="24"/>
  <c r="O30" i="24"/>
  <c r="P30" i="24"/>
  <c r="Q30" i="24"/>
  <c r="R30" i="24"/>
  <c r="S30" i="24"/>
  <c r="T30" i="24"/>
  <c r="U30" i="24"/>
  <c r="A38" i="24"/>
  <c r="B38" i="24"/>
  <c r="C38" i="24"/>
  <c r="D38" i="24"/>
  <c r="E38" i="24"/>
  <c r="F38" i="24"/>
  <c r="G38" i="24"/>
  <c r="H38" i="24"/>
  <c r="I38" i="24"/>
  <c r="J38" i="24"/>
  <c r="K38" i="24"/>
  <c r="M38" i="24"/>
  <c r="O38" i="24"/>
  <c r="P38" i="24"/>
  <c r="Q38" i="24"/>
  <c r="R38" i="24"/>
  <c r="S38" i="24"/>
  <c r="T38" i="24"/>
  <c r="U38" i="24"/>
  <c r="A79" i="24"/>
  <c r="B79" i="24"/>
  <c r="C79" i="24"/>
  <c r="D79" i="24"/>
  <c r="E79" i="24"/>
  <c r="F79" i="24"/>
  <c r="G79" i="24"/>
  <c r="H79" i="24"/>
  <c r="I79" i="24"/>
  <c r="J79" i="24"/>
  <c r="K79" i="24"/>
  <c r="M79" i="24"/>
  <c r="O79" i="24"/>
  <c r="P79" i="24"/>
  <c r="Q79" i="24"/>
  <c r="R79" i="24"/>
  <c r="S79" i="24"/>
  <c r="T79" i="24"/>
  <c r="U79" i="24"/>
  <c r="A88" i="24"/>
  <c r="B88" i="24"/>
  <c r="C88" i="24"/>
  <c r="D88" i="24"/>
  <c r="E88" i="24"/>
  <c r="F88" i="24"/>
  <c r="G88" i="24"/>
  <c r="H88" i="24"/>
  <c r="I88" i="24"/>
  <c r="J88" i="24"/>
  <c r="K88" i="24"/>
  <c r="L88" i="24"/>
  <c r="M88" i="24"/>
  <c r="N88" i="24"/>
  <c r="O88" i="24"/>
  <c r="P88" i="24"/>
  <c r="Q88" i="24"/>
  <c r="R88" i="24"/>
  <c r="S88" i="24"/>
  <c r="T88" i="24"/>
  <c r="U88" i="24"/>
  <c r="A108" i="24"/>
  <c r="B108" i="24"/>
  <c r="C108" i="24"/>
  <c r="D108" i="24"/>
  <c r="E108" i="24"/>
  <c r="F108" i="24"/>
  <c r="G108" i="24"/>
  <c r="H108" i="24"/>
  <c r="I108" i="24"/>
  <c r="J108" i="24"/>
  <c r="K108" i="24"/>
  <c r="L108" i="24"/>
  <c r="M108" i="24"/>
  <c r="O108" i="24"/>
  <c r="P108" i="24"/>
  <c r="Q108" i="24"/>
  <c r="R108" i="24"/>
  <c r="S108" i="24"/>
  <c r="T108" i="24"/>
  <c r="U108" i="24"/>
  <c r="A109" i="24"/>
  <c r="B109" i="24"/>
  <c r="C109" i="24"/>
  <c r="D109" i="24"/>
  <c r="E109" i="24"/>
  <c r="F109" i="24"/>
  <c r="G109" i="24"/>
  <c r="H109" i="24"/>
  <c r="I109" i="24"/>
  <c r="J109" i="24"/>
  <c r="K109" i="24"/>
  <c r="L109" i="24"/>
  <c r="M109" i="24"/>
  <c r="O109" i="24"/>
  <c r="P109" i="24"/>
  <c r="Q109" i="24"/>
  <c r="R109" i="24"/>
  <c r="S109" i="24"/>
  <c r="T109" i="24"/>
  <c r="U109" i="24"/>
  <c r="A11" i="24"/>
  <c r="B11" i="24"/>
  <c r="C11" i="24"/>
  <c r="D11" i="24"/>
  <c r="E11" i="24"/>
  <c r="F11" i="24"/>
  <c r="G11" i="24"/>
  <c r="H11" i="24"/>
  <c r="I11" i="24"/>
  <c r="J11" i="24"/>
  <c r="K11" i="24"/>
  <c r="M11" i="24"/>
  <c r="O11" i="24"/>
  <c r="P11" i="24"/>
  <c r="Q11" i="24"/>
  <c r="R11" i="24"/>
  <c r="S11" i="24"/>
  <c r="T11" i="24"/>
  <c r="U11" i="24"/>
  <c r="A17" i="24"/>
  <c r="B17" i="24"/>
  <c r="C17" i="24"/>
  <c r="D17" i="24"/>
  <c r="E17" i="24"/>
  <c r="F17" i="24"/>
  <c r="G17" i="24"/>
  <c r="H17" i="24"/>
  <c r="I17" i="24"/>
  <c r="J17" i="24"/>
  <c r="K17" i="24"/>
  <c r="M17" i="24"/>
  <c r="O17" i="24"/>
  <c r="P17" i="24"/>
  <c r="Q17" i="24"/>
  <c r="R17" i="24"/>
  <c r="S17" i="24"/>
  <c r="T17" i="24"/>
  <c r="U17" i="24"/>
  <c r="A23" i="24"/>
  <c r="B23" i="24"/>
  <c r="C23" i="24"/>
  <c r="D23" i="24"/>
  <c r="E23" i="24"/>
  <c r="F23" i="24"/>
  <c r="G23" i="24"/>
  <c r="H23" i="24"/>
  <c r="I23" i="24"/>
  <c r="J23" i="24"/>
  <c r="K23" i="24"/>
  <c r="L23" i="24"/>
  <c r="M23" i="24"/>
  <c r="N23" i="24"/>
  <c r="O23" i="24"/>
  <c r="P23" i="24"/>
  <c r="Q23" i="24"/>
  <c r="R23" i="24"/>
  <c r="S23" i="24"/>
  <c r="T23" i="24"/>
  <c r="U23" i="24"/>
  <c r="A36" i="24"/>
  <c r="B36" i="24"/>
  <c r="C36" i="24"/>
  <c r="D36" i="24"/>
  <c r="E36" i="24"/>
  <c r="F36" i="24"/>
  <c r="G36" i="24"/>
  <c r="H36" i="24"/>
  <c r="I36" i="24"/>
  <c r="J36" i="24"/>
  <c r="K36" i="24"/>
  <c r="L36" i="24"/>
  <c r="M36" i="24"/>
  <c r="O36" i="24"/>
  <c r="P36" i="24"/>
  <c r="Q36" i="24"/>
  <c r="R36" i="24"/>
  <c r="S36" i="24"/>
  <c r="T36" i="24"/>
  <c r="U36" i="24"/>
  <c r="A37" i="24"/>
  <c r="B37" i="24"/>
  <c r="C37" i="24"/>
  <c r="D37" i="24"/>
  <c r="E37" i="24"/>
  <c r="F37" i="24"/>
  <c r="G37" i="24"/>
  <c r="H37" i="24"/>
  <c r="I37" i="24"/>
  <c r="J37" i="24"/>
  <c r="K37" i="24"/>
  <c r="L37" i="24"/>
  <c r="M37" i="24"/>
  <c r="N37" i="24"/>
  <c r="O37" i="24"/>
  <c r="P37" i="24"/>
  <c r="Q37" i="24"/>
  <c r="R37" i="24"/>
  <c r="S37" i="24"/>
  <c r="T37" i="24"/>
  <c r="U37" i="24"/>
  <c r="A40" i="24"/>
  <c r="B40" i="24"/>
  <c r="C40" i="24"/>
  <c r="D40" i="24"/>
  <c r="E40" i="24"/>
  <c r="F40" i="24"/>
  <c r="G40" i="24"/>
  <c r="H40" i="24"/>
  <c r="I40" i="24"/>
  <c r="J40" i="24"/>
  <c r="K40" i="24"/>
  <c r="M40" i="24"/>
  <c r="N40" i="24"/>
  <c r="O40" i="24"/>
  <c r="P40" i="24"/>
  <c r="Q40" i="24"/>
  <c r="R40" i="24"/>
  <c r="S40" i="24"/>
  <c r="T40" i="24"/>
  <c r="U40" i="24"/>
  <c r="A76" i="24"/>
  <c r="B76" i="24"/>
  <c r="C76" i="24"/>
  <c r="D76" i="24"/>
  <c r="E76" i="24"/>
  <c r="F76" i="24"/>
  <c r="G76" i="24"/>
  <c r="H76" i="24"/>
  <c r="I76" i="24"/>
  <c r="J76" i="24"/>
  <c r="K76" i="24"/>
  <c r="L76" i="24"/>
  <c r="M76" i="24"/>
  <c r="O76" i="24"/>
  <c r="P76" i="24"/>
  <c r="Q76" i="24"/>
  <c r="R76" i="24"/>
  <c r="S76" i="24"/>
  <c r="T76" i="24"/>
  <c r="U76" i="24"/>
  <c r="A65" i="24"/>
  <c r="B65" i="24"/>
  <c r="C65" i="24"/>
  <c r="D65" i="24"/>
  <c r="E65" i="24"/>
  <c r="F65" i="24"/>
  <c r="G65" i="24"/>
  <c r="H65" i="24"/>
  <c r="I65" i="24"/>
  <c r="J65" i="24"/>
  <c r="K65" i="24"/>
  <c r="M65" i="24"/>
  <c r="N65" i="24"/>
  <c r="O65" i="24"/>
  <c r="P65" i="24"/>
  <c r="Q65" i="24"/>
  <c r="R65" i="24"/>
  <c r="S65" i="24"/>
  <c r="T65" i="24"/>
  <c r="U65" i="24"/>
  <c r="A72" i="24"/>
  <c r="B72" i="24"/>
  <c r="C72" i="24"/>
  <c r="D72" i="24"/>
  <c r="E72" i="24"/>
  <c r="F72" i="24"/>
  <c r="G72" i="24"/>
  <c r="H72" i="24"/>
  <c r="I72" i="24"/>
  <c r="J72" i="24"/>
  <c r="K72" i="24"/>
  <c r="M72" i="24"/>
  <c r="N72" i="24"/>
  <c r="O72" i="24"/>
  <c r="P72" i="24"/>
  <c r="Q72" i="24"/>
  <c r="R72" i="24"/>
  <c r="T72" i="24"/>
  <c r="U72" i="24"/>
  <c r="A75" i="24"/>
  <c r="B75" i="24"/>
  <c r="C75" i="24"/>
  <c r="D75" i="24"/>
  <c r="E75" i="24"/>
  <c r="F75" i="24"/>
  <c r="G75" i="24"/>
  <c r="H75" i="24"/>
  <c r="I75" i="24"/>
  <c r="J75" i="24"/>
  <c r="K75" i="24"/>
  <c r="L75" i="24"/>
  <c r="M75" i="24"/>
  <c r="O75" i="24"/>
  <c r="P75" i="24"/>
  <c r="Q75" i="24"/>
  <c r="R75" i="24"/>
  <c r="S75" i="24"/>
  <c r="T75" i="24"/>
  <c r="U75" i="24"/>
  <c r="A92" i="24"/>
  <c r="B92" i="24"/>
  <c r="C92" i="24"/>
  <c r="D92" i="24"/>
  <c r="E92" i="24"/>
  <c r="F92" i="24"/>
  <c r="G92" i="24"/>
  <c r="H92" i="24"/>
  <c r="I92" i="24"/>
  <c r="J92" i="24"/>
  <c r="K92" i="24"/>
  <c r="M92" i="24"/>
  <c r="N92" i="24"/>
  <c r="O92" i="24"/>
  <c r="P92" i="24"/>
  <c r="Q92" i="24"/>
  <c r="R92" i="24"/>
  <c r="S92" i="24"/>
  <c r="T92" i="24"/>
  <c r="U92" i="24"/>
  <c r="A94" i="24"/>
  <c r="B94" i="24"/>
  <c r="C94" i="24"/>
  <c r="D94" i="24"/>
  <c r="E94" i="24"/>
  <c r="F94" i="24"/>
  <c r="G94" i="24"/>
  <c r="H94" i="24"/>
  <c r="I94" i="24"/>
  <c r="J94" i="24"/>
  <c r="K94" i="24"/>
  <c r="M94" i="24"/>
  <c r="O94" i="24"/>
  <c r="P94" i="24"/>
  <c r="Q94" i="24"/>
  <c r="R94" i="24"/>
  <c r="S94" i="24"/>
  <c r="T94" i="24"/>
  <c r="U94" i="24"/>
  <c r="A97" i="24"/>
  <c r="B97" i="24"/>
  <c r="C97" i="24"/>
  <c r="D97" i="24"/>
  <c r="E97" i="24"/>
  <c r="F97" i="24"/>
  <c r="G97" i="24"/>
  <c r="H97" i="24"/>
  <c r="I97" i="24"/>
  <c r="J97" i="24"/>
  <c r="K97" i="24"/>
  <c r="L97" i="24"/>
  <c r="M97" i="24"/>
  <c r="O97" i="24"/>
  <c r="P97" i="24"/>
  <c r="Q97" i="24"/>
  <c r="R97" i="24"/>
  <c r="S97" i="24"/>
  <c r="T97" i="24"/>
  <c r="U97" i="24"/>
  <c r="A98" i="24"/>
  <c r="B98" i="24"/>
  <c r="C98" i="24"/>
  <c r="D98" i="24"/>
  <c r="E98" i="24"/>
  <c r="F98" i="24"/>
  <c r="G98" i="24"/>
  <c r="H98" i="24"/>
  <c r="I98" i="24"/>
  <c r="J98" i="24"/>
  <c r="K98" i="24"/>
  <c r="L98" i="24"/>
  <c r="M98" i="24"/>
  <c r="N98" i="24"/>
  <c r="O98" i="24"/>
  <c r="P98" i="24"/>
  <c r="Q98" i="24"/>
  <c r="R98" i="24"/>
  <c r="S98" i="24"/>
  <c r="T98" i="24"/>
  <c r="U98" i="24"/>
  <c r="A24" i="24"/>
  <c r="B24" i="24"/>
  <c r="C24" i="24"/>
  <c r="D24" i="24"/>
  <c r="E24" i="24"/>
  <c r="F24" i="24"/>
  <c r="G24" i="24"/>
  <c r="H24" i="24"/>
  <c r="I24" i="24"/>
  <c r="J24" i="24"/>
  <c r="K24" i="24"/>
  <c r="L24" i="24"/>
  <c r="M24" i="24"/>
  <c r="O24" i="24"/>
  <c r="P24" i="24"/>
  <c r="Q24" i="24"/>
  <c r="R24" i="24"/>
  <c r="S24" i="24"/>
  <c r="T24" i="24"/>
  <c r="U24" i="24"/>
  <c r="A28" i="24"/>
  <c r="B28" i="24"/>
  <c r="C28" i="24"/>
  <c r="D28" i="24"/>
  <c r="E28" i="24"/>
  <c r="F28" i="24"/>
  <c r="G28" i="24"/>
  <c r="H28" i="24"/>
  <c r="I28" i="24"/>
  <c r="J28" i="24"/>
  <c r="K28" i="24"/>
  <c r="M28" i="24"/>
  <c r="O28" i="24"/>
  <c r="Q28" i="24"/>
  <c r="R28" i="24"/>
  <c r="S28" i="24"/>
  <c r="T28" i="24"/>
  <c r="U28" i="24"/>
  <c r="A33" i="24"/>
  <c r="B33" i="24"/>
  <c r="C33" i="24"/>
  <c r="D33" i="24"/>
  <c r="E33" i="24"/>
  <c r="F33" i="24"/>
  <c r="G33" i="24"/>
  <c r="H33" i="24"/>
  <c r="I33" i="24"/>
  <c r="J33" i="24"/>
  <c r="K33" i="24"/>
  <c r="M33" i="24"/>
  <c r="O33" i="24"/>
  <c r="P33" i="24"/>
  <c r="Q33" i="24"/>
  <c r="R33" i="24"/>
  <c r="S33" i="24"/>
  <c r="T33" i="24"/>
  <c r="U33" i="24"/>
  <c r="A39" i="24"/>
  <c r="B39" i="24"/>
  <c r="C39" i="24"/>
  <c r="D39" i="24"/>
  <c r="E39" i="24"/>
  <c r="F39" i="24"/>
  <c r="G39" i="24"/>
  <c r="H39" i="24"/>
  <c r="I39" i="24"/>
  <c r="J39" i="24"/>
  <c r="K39" i="24"/>
  <c r="L39" i="24"/>
  <c r="M39" i="24"/>
  <c r="O39" i="24"/>
  <c r="P39" i="24"/>
  <c r="Q39" i="24"/>
  <c r="R39" i="24"/>
  <c r="S39" i="24"/>
  <c r="T39" i="24"/>
  <c r="U39" i="24"/>
  <c r="A43" i="24"/>
  <c r="B43" i="24"/>
  <c r="C43" i="24"/>
  <c r="D43" i="24"/>
  <c r="E43" i="24"/>
  <c r="F43" i="24"/>
  <c r="G43" i="24"/>
  <c r="H43" i="24"/>
  <c r="I43" i="24"/>
  <c r="J43" i="24"/>
  <c r="K43" i="24"/>
  <c r="M43" i="24"/>
  <c r="O43" i="24"/>
  <c r="P43" i="24"/>
  <c r="Q43" i="24"/>
  <c r="R43" i="24"/>
  <c r="S43" i="24"/>
  <c r="T43" i="24"/>
  <c r="U43" i="24"/>
  <c r="A45" i="24"/>
  <c r="B45" i="24"/>
  <c r="C45" i="24"/>
  <c r="D45" i="24"/>
  <c r="E45" i="24"/>
  <c r="F45" i="24"/>
  <c r="G45" i="24"/>
  <c r="H45" i="24"/>
  <c r="I45" i="24"/>
  <c r="J45" i="24"/>
  <c r="K45" i="24"/>
  <c r="M45" i="24"/>
  <c r="O45" i="24"/>
  <c r="P45" i="24"/>
  <c r="Q45" i="24"/>
  <c r="R45" i="24"/>
  <c r="S45" i="24"/>
  <c r="T45" i="24"/>
  <c r="U45" i="24"/>
  <c r="A50" i="24"/>
  <c r="B50" i="24"/>
  <c r="C50" i="24"/>
  <c r="D50" i="24"/>
  <c r="E50" i="24"/>
  <c r="F50" i="24"/>
  <c r="G50" i="24"/>
  <c r="H50" i="24"/>
  <c r="I50" i="24"/>
  <c r="J50" i="24"/>
  <c r="K50" i="24"/>
  <c r="L50" i="24"/>
  <c r="M50" i="24"/>
  <c r="N50" i="24"/>
  <c r="O50" i="24"/>
  <c r="P50" i="24"/>
  <c r="Q50" i="24"/>
  <c r="R50" i="24"/>
  <c r="S50" i="24"/>
  <c r="T50" i="24"/>
  <c r="U50" i="24"/>
  <c r="A58" i="24"/>
  <c r="B58" i="24"/>
  <c r="C58" i="24"/>
  <c r="D58" i="24"/>
  <c r="E58" i="24"/>
  <c r="F58" i="24"/>
  <c r="G58" i="24"/>
  <c r="H58" i="24"/>
  <c r="I58" i="24"/>
  <c r="J58" i="24"/>
  <c r="K58" i="24"/>
  <c r="L58" i="24"/>
  <c r="M58" i="24"/>
  <c r="N58" i="24"/>
  <c r="O58" i="24"/>
  <c r="P58" i="24"/>
  <c r="Q58" i="24"/>
  <c r="R58" i="24"/>
  <c r="S58" i="24"/>
  <c r="T58" i="24"/>
  <c r="U58" i="24"/>
  <c r="A64" i="24"/>
  <c r="B64" i="24"/>
  <c r="C64" i="24"/>
  <c r="D64" i="24"/>
  <c r="E64" i="24"/>
  <c r="F64" i="24"/>
  <c r="G64" i="24"/>
  <c r="H64" i="24"/>
  <c r="I64" i="24"/>
  <c r="J64" i="24"/>
  <c r="K64" i="24"/>
  <c r="L64" i="24"/>
  <c r="M64" i="24"/>
  <c r="N64" i="24"/>
  <c r="O64" i="24"/>
  <c r="P64" i="24"/>
  <c r="Q64" i="24"/>
  <c r="R64" i="24"/>
  <c r="S64" i="24"/>
  <c r="T64" i="24"/>
  <c r="U64" i="24"/>
  <c r="A10" i="24"/>
  <c r="B10" i="24"/>
  <c r="C10" i="24"/>
  <c r="D10" i="24"/>
  <c r="E10" i="24"/>
  <c r="F10" i="24"/>
  <c r="G10" i="24"/>
  <c r="H10" i="24"/>
  <c r="I10" i="24"/>
  <c r="J10" i="24"/>
  <c r="K10" i="24"/>
  <c r="L10" i="24"/>
  <c r="M10" i="24"/>
  <c r="O10" i="24"/>
  <c r="P10" i="24"/>
  <c r="Q10" i="24"/>
  <c r="R10" i="24"/>
  <c r="S10" i="24"/>
  <c r="T10" i="24"/>
  <c r="U10" i="24"/>
  <c r="A90" i="24"/>
  <c r="B90" i="24"/>
  <c r="C90" i="24"/>
  <c r="D90" i="24"/>
  <c r="E90" i="24"/>
  <c r="F90" i="24"/>
  <c r="G90" i="24"/>
  <c r="H90" i="24"/>
  <c r="I90" i="24"/>
  <c r="J90" i="24"/>
  <c r="K90" i="24"/>
  <c r="M90" i="24"/>
  <c r="O90" i="24"/>
  <c r="P90" i="24"/>
  <c r="Q90" i="24"/>
  <c r="R90" i="24"/>
  <c r="S90" i="24"/>
  <c r="T90" i="24"/>
  <c r="U90" i="24"/>
  <c r="A91" i="24"/>
  <c r="B91" i="24"/>
  <c r="C91" i="24"/>
  <c r="D91" i="24"/>
  <c r="E91" i="24"/>
  <c r="F91" i="24"/>
  <c r="G91" i="24"/>
  <c r="H91" i="24"/>
  <c r="I91" i="24"/>
  <c r="J91" i="24"/>
  <c r="K91" i="24"/>
  <c r="M91" i="24"/>
  <c r="O91" i="24"/>
  <c r="P91" i="24"/>
  <c r="Q91" i="24"/>
  <c r="R91" i="24"/>
  <c r="S91" i="24"/>
  <c r="T91" i="24"/>
  <c r="U91" i="24"/>
  <c r="A96" i="24"/>
  <c r="B96" i="24"/>
  <c r="C96" i="24"/>
  <c r="D96" i="24"/>
  <c r="E96" i="24"/>
  <c r="F96" i="24"/>
  <c r="G96" i="24"/>
  <c r="H96" i="24"/>
  <c r="I96" i="24"/>
  <c r="J96" i="24"/>
  <c r="K96" i="24"/>
  <c r="M96" i="24"/>
  <c r="N96" i="24"/>
  <c r="O96" i="24"/>
  <c r="P96" i="24"/>
  <c r="Q96" i="24"/>
  <c r="R96" i="24"/>
  <c r="S96" i="24"/>
  <c r="T96" i="24"/>
  <c r="U96" i="24"/>
  <c r="A99" i="24"/>
  <c r="B99" i="24"/>
  <c r="C99" i="24"/>
  <c r="D99" i="24"/>
  <c r="E99" i="24"/>
  <c r="F99" i="24"/>
  <c r="G99" i="24"/>
  <c r="H99" i="24"/>
  <c r="I99" i="24"/>
  <c r="J99" i="24"/>
  <c r="K99" i="24"/>
  <c r="M99" i="24"/>
  <c r="O99" i="24"/>
  <c r="P99" i="24"/>
  <c r="Q99" i="24"/>
  <c r="R99" i="24"/>
  <c r="S99" i="24"/>
  <c r="T99" i="24"/>
  <c r="U99" i="24"/>
  <c r="A22" i="24"/>
  <c r="B22" i="24"/>
  <c r="C22" i="24"/>
  <c r="D22" i="24"/>
  <c r="E22" i="24"/>
  <c r="F22" i="24"/>
  <c r="G22" i="24"/>
  <c r="H22" i="24"/>
  <c r="I22" i="24"/>
  <c r="J22" i="24"/>
  <c r="K22" i="24"/>
  <c r="L22" i="24"/>
  <c r="M22" i="24"/>
  <c r="O22" i="24"/>
  <c r="P22" i="24"/>
  <c r="Q22" i="24"/>
  <c r="R22" i="24"/>
  <c r="S22" i="24"/>
  <c r="T22" i="24"/>
  <c r="U22" i="24"/>
  <c r="A27" i="24"/>
  <c r="B27" i="24"/>
  <c r="C27" i="24"/>
  <c r="D27" i="24"/>
  <c r="E27" i="24"/>
  <c r="F27" i="24"/>
  <c r="G27" i="24"/>
  <c r="H27" i="24"/>
  <c r="I27" i="24"/>
  <c r="J27" i="24"/>
  <c r="K27" i="24"/>
  <c r="M27" i="24"/>
  <c r="O27" i="24"/>
  <c r="P27" i="24"/>
  <c r="Q27" i="24"/>
  <c r="R27" i="24"/>
  <c r="S27" i="24"/>
  <c r="T27" i="24"/>
  <c r="U27" i="24"/>
  <c r="A32" i="24"/>
  <c r="B32" i="24"/>
  <c r="C32" i="24"/>
  <c r="D32" i="24"/>
  <c r="E32" i="24"/>
  <c r="F32" i="24"/>
  <c r="G32" i="24"/>
  <c r="H32" i="24"/>
  <c r="I32" i="24"/>
  <c r="J32" i="24"/>
  <c r="K32" i="24"/>
  <c r="M32" i="24"/>
  <c r="O32" i="24"/>
  <c r="Q32" i="24"/>
  <c r="R32" i="24"/>
  <c r="S32" i="24"/>
  <c r="T32" i="24"/>
  <c r="U32" i="24"/>
  <c r="A35" i="24"/>
  <c r="B35" i="24"/>
  <c r="C35" i="24"/>
  <c r="D35" i="24"/>
  <c r="E35" i="24"/>
  <c r="F35" i="24"/>
  <c r="G35" i="24"/>
  <c r="H35" i="24"/>
  <c r="I35" i="24"/>
  <c r="J35" i="24"/>
  <c r="K35" i="24"/>
  <c r="M35" i="24"/>
  <c r="O35" i="24"/>
  <c r="P35" i="24"/>
  <c r="Q35" i="24"/>
  <c r="R35" i="24"/>
  <c r="S35" i="24"/>
  <c r="T35" i="24"/>
  <c r="U35" i="24"/>
  <c r="A55" i="24"/>
  <c r="B55" i="24"/>
  <c r="C55" i="24"/>
  <c r="D55" i="24"/>
  <c r="E55" i="24"/>
  <c r="F55" i="24"/>
  <c r="G55" i="24"/>
  <c r="H55" i="24"/>
  <c r="I55" i="24"/>
  <c r="J55" i="24"/>
  <c r="K55" i="24"/>
  <c r="M55" i="24"/>
  <c r="O55" i="24"/>
  <c r="P55" i="24"/>
  <c r="Q55" i="24"/>
  <c r="R55" i="24"/>
  <c r="S55" i="24"/>
  <c r="T55" i="24"/>
  <c r="U55" i="24"/>
  <c r="A56" i="24"/>
  <c r="B56" i="24"/>
  <c r="C56" i="24"/>
  <c r="D56" i="24"/>
  <c r="E56" i="24"/>
  <c r="F56" i="24"/>
  <c r="G56" i="24"/>
  <c r="H56" i="24"/>
  <c r="I56" i="24"/>
  <c r="J56" i="24"/>
  <c r="K56" i="24"/>
  <c r="L56" i="24"/>
  <c r="M56" i="24"/>
  <c r="O56" i="24"/>
  <c r="P56" i="24"/>
  <c r="Q56" i="24"/>
  <c r="R56" i="24"/>
  <c r="S56" i="24"/>
  <c r="T56" i="24"/>
  <c r="U56" i="24"/>
  <c r="A62" i="24"/>
  <c r="B62" i="24"/>
  <c r="C62" i="24"/>
  <c r="D62" i="24"/>
  <c r="E62" i="24"/>
  <c r="F62" i="24"/>
  <c r="G62" i="24"/>
  <c r="H62" i="24"/>
  <c r="I62" i="24"/>
  <c r="J62" i="24"/>
  <c r="K62" i="24"/>
  <c r="L62" i="24"/>
  <c r="M62" i="24"/>
  <c r="N62" i="24"/>
  <c r="O62" i="24"/>
  <c r="P62" i="24"/>
  <c r="Q62" i="24"/>
  <c r="R62" i="24"/>
  <c r="S62" i="24"/>
  <c r="T62" i="24"/>
  <c r="U62" i="24"/>
  <c r="A63" i="24"/>
  <c r="B63" i="24"/>
  <c r="C63" i="24"/>
  <c r="D63" i="24"/>
  <c r="E63" i="24"/>
  <c r="F63" i="24"/>
  <c r="G63" i="24"/>
  <c r="H63" i="24"/>
  <c r="I63" i="24"/>
  <c r="J63" i="24"/>
  <c r="K63" i="24"/>
  <c r="M63" i="24"/>
  <c r="O63" i="24"/>
  <c r="P63" i="24"/>
  <c r="Q63" i="24"/>
  <c r="R63" i="24"/>
  <c r="S63" i="24"/>
  <c r="T63" i="24"/>
  <c r="U63" i="24"/>
  <c r="A78" i="24"/>
  <c r="B78" i="24"/>
  <c r="C78" i="24"/>
  <c r="D78" i="24"/>
  <c r="E78" i="24"/>
  <c r="F78" i="24"/>
  <c r="G78" i="24"/>
  <c r="H78" i="24"/>
  <c r="I78" i="24"/>
  <c r="J78" i="24"/>
  <c r="K78" i="24"/>
  <c r="M78" i="24"/>
  <c r="O78" i="24"/>
  <c r="Q78" i="24"/>
  <c r="R78" i="24"/>
  <c r="S78" i="24"/>
  <c r="T78" i="24"/>
  <c r="U78" i="24"/>
  <c r="A85" i="24"/>
  <c r="B85" i="24"/>
  <c r="C85" i="24"/>
  <c r="D85" i="24"/>
  <c r="E85" i="24"/>
  <c r="F85" i="24"/>
  <c r="G85" i="24"/>
  <c r="H85" i="24"/>
  <c r="I85" i="24"/>
  <c r="J85" i="24"/>
  <c r="K85" i="24"/>
  <c r="M85" i="24"/>
  <c r="O85" i="24"/>
  <c r="P85" i="24"/>
  <c r="Q85" i="24"/>
  <c r="R85" i="24"/>
  <c r="S85" i="24"/>
  <c r="T85" i="24"/>
  <c r="U85" i="24"/>
  <c r="A86" i="24"/>
  <c r="B86" i="24"/>
  <c r="C86" i="24"/>
  <c r="D86" i="24"/>
  <c r="E86" i="24"/>
  <c r="F86" i="24"/>
  <c r="G86" i="24"/>
  <c r="H86" i="24"/>
  <c r="I86" i="24"/>
  <c r="J86" i="24"/>
  <c r="K86" i="24"/>
  <c r="M86" i="24"/>
  <c r="O86" i="24"/>
  <c r="P86" i="24"/>
  <c r="Q86" i="24"/>
  <c r="R86" i="24"/>
  <c r="S86" i="24"/>
  <c r="T86" i="24"/>
  <c r="U86" i="24"/>
  <c r="A87" i="24"/>
  <c r="B87" i="24"/>
  <c r="C87" i="24"/>
  <c r="D87" i="24"/>
  <c r="E87" i="24"/>
  <c r="F87" i="24"/>
  <c r="G87" i="24"/>
  <c r="H87" i="24"/>
  <c r="I87" i="24"/>
  <c r="J87" i="24"/>
  <c r="K87" i="24"/>
  <c r="L87" i="24"/>
  <c r="M87" i="24"/>
  <c r="O87" i="24"/>
  <c r="P87" i="24"/>
  <c r="Q87" i="24"/>
  <c r="R87" i="24"/>
  <c r="S87" i="24"/>
  <c r="T87" i="24"/>
  <c r="U87" i="24"/>
  <c r="A89" i="24"/>
  <c r="B89" i="24"/>
  <c r="C89" i="24"/>
  <c r="D89" i="24"/>
  <c r="E89" i="24"/>
  <c r="F89" i="24"/>
  <c r="G89" i="24"/>
  <c r="H89" i="24"/>
  <c r="I89" i="24"/>
  <c r="J89" i="24"/>
  <c r="K89" i="24"/>
  <c r="M89" i="24"/>
  <c r="N89" i="24"/>
  <c r="O89" i="24"/>
  <c r="P89" i="24"/>
  <c r="Q89" i="24"/>
  <c r="R89" i="24"/>
  <c r="S89" i="24"/>
  <c r="T89" i="24"/>
  <c r="U89" i="24"/>
  <c r="A8" i="24"/>
  <c r="B8" i="24"/>
  <c r="C8" i="24"/>
  <c r="D8" i="24"/>
  <c r="E8" i="24"/>
  <c r="F8" i="24"/>
  <c r="G8" i="24"/>
  <c r="H8" i="24"/>
  <c r="I8" i="24"/>
  <c r="J8" i="24"/>
  <c r="K8" i="24"/>
  <c r="M8" i="24"/>
  <c r="O8" i="24"/>
  <c r="P8" i="24"/>
  <c r="Q8" i="24"/>
  <c r="R8" i="24"/>
  <c r="S8" i="24"/>
  <c r="T8" i="24"/>
  <c r="U8" i="24"/>
  <c r="A80" i="24"/>
  <c r="B80" i="24"/>
  <c r="C80" i="24"/>
  <c r="D80" i="24"/>
  <c r="E80" i="24"/>
  <c r="F80" i="24"/>
  <c r="G80" i="24"/>
  <c r="H80" i="24"/>
  <c r="I80" i="24"/>
  <c r="J80" i="24"/>
  <c r="K80" i="24"/>
  <c r="L80" i="24"/>
  <c r="M80" i="24"/>
  <c r="N80" i="24"/>
  <c r="O80" i="24"/>
  <c r="Q80" i="24"/>
  <c r="R80" i="24"/>
  <c r="S80" i="24"/>
  <c r="T80" i="24"/>
  <c r="U80" i="24"/>
  <c r="A82" i="24"/>
  <c r="B82" i="24"/>
  <c r="C82" i="24"/>
  <c r="D82" i="24"/>
  <c r="E82" i="24"/>
  <c r="F82" i="24"/>
  <c r="G82" i="24"/>
  <c r="H82" i="24"/>
  <c r="I82" i="24"/>
  <c r="J82" i="24"/>
  <c r="K82" i="24"/>
  <c r="L82" i="24"/>
  <c r="M82" i="24"/>
  <c r="N82" i="24"/>
  <c r="O82" i="24"/>
  <c r="P82" i="24"/>
  <c r="Q82" i="24"/>
  <c r="R82" i="24"/>
  <c r="S82" i="24"/>
  <c r="T82" i="24"/>
  <c r="U82" i="24"/>
  <c r="A83" i="24"/>
  <c r="B83" i="24"/>
  <c r="C83" i="24"/>
  <c r="D83" i="24"/>
  <c r="E83" i="24"/>
  <c r="F83" i="24"/>
  <c r="G83" i="24"/>
  <c r="H83" i="24"/>
  <c r="I83" i="24"/>
  <c r="J83" i="24"/>
  <c r="K83" i="24"/>
  <c r="L83" i="24"/>
  <c r="M83" i="24"/>
  <c r="N83" i="24"/>
  <c r="O83" i="24"/>
  <c r="P83" i="24"/>
  <c r="Q83" i="24"/>
  <c r="R83" i="24"/>
  <c r="S83" i="24"/>
  <c r="T83" i="24"/>
  <c r="U83" i="24"/>
  <c r="A44" i="24"/>
  <c r="B44" i="24"/>
  <c r="C44" i="24"/>
  <c r="D44" i="24"/>
  <c r="E44" i="24"/>
  <c r="F44" i="24"/>
  <c r="G44" i="24"/>
  <c r="H44" i="24"/>
  <c r="I44" i="24"/>
  <c r="J44" i="24"/>
  <c r="K44" i="24"/>
  <c r="L44" i="24"/>
  <c r="M44" i="24"/>
  <c r="N44" i="24"/>
  <c r="O44" i="24"/>
  <c r="P44" i="24"/>
  <c r="Q44" i="24"/>
  <c r="R44" i="24"/>
  <c r="S44" i="24"/>
  <c r="T44" i="24"/>
  <c r="U44" i="24"/>
  <c r="A71" i="24"/>
  <c r="B71" i="24"/>
  <c r="C71" i="24"/>
  <c r="D71" i="24"/>
  <c r="E71" i="24"/>
  <c r="F71" i="24"/>
  <c r="G71" i="24"/>
  <c r="H71" i="24"/>
  <c r="I71" i="24"/>
  <c r="J71" i="24"/>
  <c r="K71" i="24"/>
  <c r="L71" i="24"/>
  <c r="M71" i="24"/>
  <c r="N71" i="24"/>
  <c r="O71" i="24"/>
  <c r="P71" i="24"/>
  <c r="Q71" i="24"/>
  <c r="R71" i="24"/>
  <c r="S71" i="24"/>
  <c r="T71" i="24"/>
  <c r="U71" i="24"/>
  <c r="A69" i="24"/>
  <c r="B69" i="24"/>
  <c r="C69" i="24"/>
  <c r="D69" i="24"/>
  <c r="E69" i="24"/>
  <c r="F69" i="24"/>
  <c r="G69" i="24"/>
  <c r="H69" i="24"/>
  <c r="I69" i="24"/>
  <c r="J69" i="24"/>
  <c r="K69" i="24"/>
  <c r="L69" i="24"/>
  <c r="M69" i="24"/>
  <c r="N69" i="24"/>
  <c r="O69" i="24"/>
  <c r="P69" i="24"/>
  <c r="Q69" i="24"/>
  <c r="R69" i="24"/>
  <c r="S69" i="24"/>
  <c r="T69" i="24"/>
  <c r="U69" i="24"/>
  <c r="A106" i="24"/>
  <c r="B106" i="24"/>
  <c r="C106" i="24"/>
  <c r="D106" i="24"/>
  <c r="E106" i="24"/>
  <c r="F106" i="24"/>
  <c r="G106" i="24"/>
  <c r="H106" i="24"/>
  <c r="I106" i="24"/>
  <c r="J106" i="24"/>
  <c r="K106" i="24"/>
  <c r="L106" i="24"/>
  <c r="M106" i="24"/>
  <c r="N106" i="24"/>
  <c r="O106" i="24"/>
  <c r="P106" i="24"/>
  <c r="Q106" i="24"/>
  <c r="R106" i="24"/>
  <c r="S106" i="24"/>
  <c r="T106" i="24"/>
  <c r="U106" i="24"/>
  <c r="A107" i="24"/>
  <c r="B107" i="24"/>
  <c r="C107" i="24"/>
  <c r="D107" i="24"/>
  <c r="E107" i="24"/>
  <c r="F107" i="24"/>
  <c r="G107" i="24"/>
  <c r="H107" i="24"/>
  <c r="I107" i="24"/>
  <c r="J107" i="24"/>
  <c r="K107" i="24"/>
  <c r="L107" i="24"/>
  <c r="M107" i="24"/>
  <c r="O107" i="24"/>
  <c r="P107" i="24"/>
  <c r="Q107" i="24"/>
  <c r="R107" i="24"/>
  <c r="S107" i="24"/>
  <c r="T107" i="24"/>
  <c r="U107" i="24"/>
  <c r="A110" i="24"/>
  <c r="B110" i="24"/>
  <c r="C110" i="24"/>
  <c r="D110" i="24"/>
  <c r="E110" i="24"/>
  <c r="F110" i="24"/>
  <c r="G110" i="24"/>
  <c r="H110" i="24"/>
  <c r="I110" i="24"/>
  <c r="J110" i="24"/>
  <c r="K110" i="24"/>
  <c r="L110" i="24"/>
  <c r="M110" i="24"/>
  <c r="N110" i="24"/>
  <c r="O110" i="24"/>
  <c r="Q110" i="24"/>
  <c r="R110" i="24"/>
  <c r="S110" i="24"/>
  <c r="T110" i="24"/>
  <c r="U110" i="24"/>
  <c r="A114" i="24"/>
  <c r="B114" i="24"/>
  <c r="C114" i="24"/>
  <c r="D114" i="24"/>
  <c r="E114" i="24"/>
  <c r="F114" i="24"/>
  <c r="G114" i="24"/>
  <c r="H114" i="24"/>
  <c r="I114" i="24"/>
  <c r="J114" i="24"/>
  <c r="K114" i="24"/>
  <c r="M114" i="24"/>
  <c r="O114" i="24"/>
  <c r="P114" i="24"/>
  <c r="Q114" i="24"/>
  <c r="R114" i="24"/>
  <c r="S114" i="24"/>
  <c r="T114" i="24"/>
  <c r="U114" i="24"/>
  <c r="A115" i="24"/>
  <c r="B115" i="24"/>
  <c r="C115" i="24"/>
  <c r="D115" i="24"/>
  <c r="E115" i="24"/>
  <c r="F115" i="24"/>
  <c r="G115" i="24"/>
  <c r="H115" i="24"/>
  <c r="I115" i="24"/>
  <c r="J115" i="24"/>
  <c r="K115" i="24"/>
  <c r="L115" i="24"/>
  <c r="M115" i="24"/>
  <c r="N115" i="24"/>
  <c r="O115" i="24"/>
  <c r="Q115" i="24"/>
  <c r="R115" i="24"/>
  <c r="S115" i="24"/>
  <c r="T115" i="24"/>
  <c r="U115" i="24"/>
  <c r="A61" i="24"/>
  <c r="B61" i="24"/>
  <c r="C61" i="24"/>
  <c r="D61" i="24"/>
  <c r="E61" i="24"/>
  <c r="F61" i="24"/>
  <c r="G61" i="24"/>
  <c r="H61" i="24"/>
  <c r="I61" i="24"/>
  <c r="J61" i="24"/>
  <c r="K61" i="24"/>
  <c r="L61" i="24"/>
  <c r="M61" i="24"/>
  <c r="N61" i="24"/>
  <c r="O61" i="24"/>
  <c r="P61" i="24"/>
  <c r="Q61" i="24"/>
  <c r="R61" i="24"/>
  <c r="S61" i="24"/>
  <c r="T61" i="24"/>
  <c r="U61" i="24"/>
  <c r="A66" i="24"/>
  <c r="B66" i="24"/>
  <c r="C66" i="24"/>
  <c r="D66" i="24"/>
  <c r="E66" i="24"/>
  <c r="F66" i="24"/>
  <c r="G66" i="24"/>
  <c r="H66" i="24"/>
  <c r="I66" i="24"/>
  <c r="J66" i="24"/>
  <c r="K66" i="24"/>
  <c r="L66" i="24"/>
  <c r="M66" i="24"/>
  <c r="N66" i="24"/>
  <c r="O66" i="24"/>
  <c r="P66" i="24"/>
  <c r="Q66" i="24"/>
  <c r="R66" i="24"/>
  <c r="S66" i="24"/>
  <c r="T66" i="24"/>
  <c r="U66" i="24"/>
  <c r="A67" i="24"/>
  <c r="B67" i="24"/>
  <c r="C67" i="24"/>
  <c r="D67" i="24"/>
  <c r="E67" i="24"/>
  <c r="F67" i="24"/>
  <c r="G67" i="24"/>
  <c r="H67" i="24"/>
  <c r="I67" i="24"/>
  <c r="J67" i="24"/>
  <c r="K67" i="24"/>
  <c r="L67" i="24"/>
  <c r="M67" i="24"/>
  <c r="N67" i="24"/>
  <c r="O67" i="24"/>
  <c r="Q67" i="24"/>
  <c r="R67" i="24"/>
  <c r="S67" i="24"/>
  <c r="T67" i="24"/>
  <c r="U67" i="24"/>
  <c r="A74" i="24"/>
  <c r="B74" i="24"/>
  <c r="C74" i="24"/>
  <c r="D74" i="24"/>
  <c r="E74" i="24"/>
  <c r="F74" i="24"/>
  <c r="G74" i="24"/>
  <c r="H74" i="24"/>
  <c r="I74" i="24"/>
  <c r="J74" i="24"/>
  <c r="K74" i="24"/>
  <c r="L74" i="24"/>
  <c r="M74" i="24"/>
  <c r="O74" i="24"/>
  <c r="P74" i="24"/>
  <c r="Q74" i="24"/>
  <c r="R74" i="24"/>
  <c r="S74" i="24"/>
  <c r="T74" i="24"/>
  <c r="U74" i="24"/>
  <c r="A95" i="24"/>
  <c r="B95" i="24"/>
  <c r="C95" i="24"/>
  <c r="D95" i="24"/>
  <c r="E95" i="24"/>
  <c r="F95" i="24"/>
  <c r="G95" i="24"/>
  <c r="H95" i="24"/>
  <c r="I95" i="24"/>
  <c r="J95" i="24"/>
  <c r="K95" i="24"/>
  <c r="M95" i="24"/>
  <c r="O95" i="24"/>
  <c r="P95" i="24"/>
  <c r="Q95" i="24"/>
  <c r="R95" i="24"/>
  <c r="S95" i="24"/>
  <c r="T95" i="24"/>
  <c r="U95" i="24"/>
  <c r="A6" i="24"/>
  <c r="B6" i="24"/>
  <c r="C6" i="24"/>
  <c r="D6" i="24"/>
  <c r="E6" i="24"/>
  <c r="F6" i="24"/>
  <c r="G6" i="24"/>
  <c r="H6" i="24"/>
  <c r="I6" i="24"/>
  <c r="J6" i="24"/>
  <c r="K6" i="24"/>
  <c r="L6" i="24"/>
  <c r="M6" i="24"/>
  <c r="N6" i="24"/>
  <c r="O6" i="24"/>
  <c r="P6" i="24"/>
  <c r="Q6" i="24"/>
  <c r="R6" i="24"/>
  <c r="S6" i="24"/>
  <c r="T6" i="24"/>
  <c r="U6" i="24"/>
  <c r="A46" i="24"/>
  <c r="B46" i="24"/>
  <c r="C46" i="24"/>
  <c r="D46" i="24"/>
  <c r="E46" i="24"/>
  <c r="F46" i="24"/>
  <c r="G46" i="24"/>
  <c r="H46" i="24"/>
  <c r="I46" i="24"/>
  <c r="J46" i="24"/>
  <c r="K46" i="24"/>
  <c r="L46" i="24"/>
  <c r="M46" i="24"/>
  <c r="N46" i="24"/>
  <c r="O46" i="24"/>
  <c r="P46" i="24"/>
  <c r="Q46" i="24"/>
  <c r="R46" i="24"/>
  <c r="S46" i="24"/>
  <c r="T46" i="24"/>
  <c r="U46" i="24"/>
  <c r="A52" i="24"/>
  <c r="B52" i="24"/>
  <c r="C52" i="24"/>
  <c r="D52" i="24"/>
  <c r="E52" i="24"/>
  <c r="F52" i="24"/>
  <c r="G52" i="24"/>
  <c r="H52" i="24"/>
  <c r="I52" i="24"/>
  <c r="J52" i="24"/>
  <c r="K52" i="24"/>
  <c r="L52" i="24"/>
  <c r="M52" i="24"/>
  <c r="O52" i="24"/>
  <c r="P52" i="24"/>
  <c r="Q52" i="24"/>
  <c r="R52" i="24"/>
  <c r="S52" i="24"/>
  <c r="T52" i="24"/>
  <c r="U52" i="24"/>
  <c r="A54" i="24"/>
  <c r="B54" i="24"/>
  <c r="C54" i="24"/>
  <c r="D54" i="24"/>
  <c r="E54" i="24"/>
  <c r="F54" i="24"/>
  <c r="G54" i="24"/>
  <c r="H54" i="24"/>
  <c r="I54" i="24"/>
  <c r="J54" i="24"/>
  <c r="K54" i="24"/>
  <c r="M54" i="24"/>
  <c r="O54" i="24"/>
  <c r="P54" i="24"/>
  <c r="Q54" i="24"/>
  <c r="R54" i="24"/>
  <c r="S54" i="24"/>
  <c r="T54" i="24"/>
  <c r="U54" i="24"/>
  <c r="A70" i="24"/>
  <c r="B70" i="24"/>
  <c r="C70" i="24"/>
  <c r="D70" i="24"/>
  <c r="E70" i="24"/>
  <c r="F70" i="24"/>
  <c r="G70" i="24"/>
  <c r="H70" i="24"/>
  <c r="I70" i="24"/>
  <c r="J70" i="24"/>
  <c r="K70" i="24"/>
  <c r="M70" i="24"/>
  <c r="N70" i="24"/>
  <c r="O70" i="24"/>
  <c r="P70" i="24"/>
  <c r="Q70" i="24"/>
  <c r="R70" i="24"/>
  <c r="S70" i="24"/>
  <c r="T70" i="24"/>
  <c r="U70" i="24"/>
  <c r="A13" i="24"/>
  <c r="B13" i="24"/>
  <c r="C13" i="24"/>
  <c r="D13" i="24"/>
  <c r="E13" i="24"/>
  <c r="F13" i="24"/>
  <c r="G13" i="24"/>
  <c r="H13" i="24"/>
  <c r="I13" i="24"/>
  <c r="J13" i="24"/>
  <c r="K13" i="24"/>
  <c r="L13" i="24"/>
  <c r="M13" i="24"/>
  <c r="N13" i="24"/>
  <c r="O13" i="24"/>
  <c r="P13" i="24"/>
  <c r="Q13" i="24"/>
  <c r="R13" i="24"/>
  <c r="S13" i="24"/>
  <c r="T13" i="24"/>
  <c r="U13" i="24"/>
  <c r="A14" i="24"/>
  <c r="B14" i="24"/>
  <c r="C14" i="24"/>
  <c r="D14" i="24"/>
  <c r="E14" i="24"/>
  <c r="F14" i="24"/>
  <c r="G14" i="24"/>
  <c r="H14" i="24"/>
  <c r="I14" i="24"/>
  <c r="J14" i="24"/>
  <c r="K14" i="24"/>
  <c r="L14" i="24"/>
  <c r="M14" i="24"/>
  <c r="O14" i="24"/>
  <c r="P14" i="24"/>
  <c r="Q14" i="24"/>
  <c r="R14" i="24"/>
  <c r="S14" i="24"/>
  <c r="T14" i="24"/>
  <c r="U14" i="24"/>
  <c r="A15" i="24"/>
  <c r="B15" i="24"/>
  <c r="C15" i="24"/>
  <c r="D15" i="24"/>
  <c r="E15" i="24"/>
  <c r="F15" i="24"/>
  <c r="G15" i="24"/>
  <c r="H15" i="24"/>
  <c r="I15" i="24"/>
  <c r="J15" i="24"/>
  <c r="K15" i="24"/>
  <c r="L15" i="24"/>
  <c r="M15" i="24"/>
  <c r="N15" i="24"/>
  <c r="O15" i="24"/>
  <c r="P15" i="24"/>
  <c r="Q15" i="24"/>
  <c r="R15" i="24"/>
  <c r="S15" i="24"/>
  <c r="T15" i="24"/>
  <c r="U15" i="24"/>
  <c r="A18" i="24"/>
  <c r="B18" i="24"/>
  <c r="C18" i="24"/>
  <c r="D18" i="24"/>
  <c r="E18" i="24"/>
  <c r="F18" i="24"/>
  <c r="G18" i="24"/>
  <c r="H18" i="24"/>
  <c r="I18" i="24"/>
  <c r="J18" i="24"/>
  <c r="K18" i="24"/>
  <c r="L18" i="24"/>
  <c r="M18" i="24"/>
  <c r="N18" i="24"/>
  <c r="O18" i="24"/>
  <c r="Q18" i="24"/>
  <c r="R18" i="24"/>
  <c r="S18" i="24"/>
  <c r="T18" i="24"/>
  <c r="U18" i="24"/>
  <c r="A25" i="24"/>
  <c r="B25" i="24"/>
  <c r="C25" i="24"/>
  <c r="D25" i="24"/>
  <c r="E25" i="24"/>
  <c r="F25" i="24"/>
  <c r="G25" i="24"/>
  <c r="H25" i="24"/>
  <c r="I25" i="24"/>
  <c r="J25" i="24"/>
  <c r="K25" i="24"/>
  <c r="L25" i="24"/>
  <c r="M25" i="24"/>
  <c r="N25" i="24"/>
  <c r="O25" i="24"/>
  <c r="P25" i="24"/>
  <c r="Q25" i="24"/>
  <c r="R25" i="24"/>
  <c r="S25" i="24"/>
  <c r="T25" i="24"/>
  <c r="U25" i="24"/>
  <c r="A26" i="24"/>
  <c r="B26" i="24"/>
  <c r="C26" i="24"/>
  <c r="D26" i="24"/>
  <c r="E26" i="24"/>
  <c r="F26" i="24"/>
  <c r="G26" i="24"/>
  <c r="H26" i="24"/>
  <c r="I26" i="24"/>
  <c r="J26" i="24"/>
  <c r="K26" i="24"/>
  <c r="L26" i="24"/>
  <c r="M26" i="24"/>
  <c r="N26" i="24"/>
  <c r="O26" i="24"/>
  <c r="P26" i="24"/>
  <c r="Q26" i="24"/>
  <c r="R26" i="24"/>
  <c r="S26" i="24"/>
  <c r="T26" i="24"/>
  <c r="U26" i="24"/>
  <c r="A29" i="24"/>
  <c r="B29" i="24"/>
  <c r="C29" i="24"/>
  <c r="D29" i="24"/>
  <c r="E29" i="24"/>
  <c r="F29" i="24"/>
  <c r="G29" i="24"/>
  <c r="H29" i="24"/>
  <c r="I29" i="24"/>
  <c r="J29" i="24"/>
  <c r="K29" i="24"/>
  <c r="L29" i="24"/>
  <c r="M29" i="24"/>
  <c r="N29" i="24"/>
  <c r="O29" i="24"/>
  <c r="P29" i="24"/>
  <c r="Q29" i="24"/>
  <c r="R29" i="24"/>
  <c r="T29" i="24"/>
  <c r="U29" i="24"/>
  <c r="A31" i="24"/>
  <c r="B31" i="24"/>
  <c r="C31" i="24"/>
  <c r="D31" i="24"/>
  <c r="E31" i="24"/>
  <c r="F31" i="24"/>
  <c r="G31" i="24"/>
  <c r="H31" i="24"/>
  <c r="I31" i="24"/>
  <c r="J31" i="24"/>
  <c r="K31" i="24"/>
  <c r="L31" i="24"/>
  <c r="M31" i="24"/>
  <c r="N31" i="24"/>
  <c r="O31" i="24"/>
  <c r="Q31" i="24"/>
  <c r="R31" i="24"/>
  <c r="S31" i="24"/>
  <c r="T31" i="24"/>
  <c r="U31" i="24"/>
  <c r="A34" i="24"/>
  <c r="B34" i="24"/>
  <c r="C34" i="24"/>
  <c r="D34" i="24"/>
  <c r="E34" i="24"/>
  <c r="F34" i="24"/>
  <c r="G34" i="24"/>
  <c r="H34" i="24"/>
  <c r="I34" i="24"/>
  <c r="J34" i="24"/>
  <c r="K34" i="24"/>
  <c r="L34" i="24"/>
  <c r="M34" i="24"/>
  <c r="O34" i="24"/>
  <c r="P34" i="24"/>
  <c r="Q34" i="24"/>
  <c r="R34" i="24"/>
  <c r="S34" i="24"/>
  <c r="T34" i="24"/>
  <c r="U34" i="24"/>
  <c r="A41" i="24"/>
  <c r="B41" i="24"/>
  <c r="C41" i="24"/>
  <c r="D41" i="24"/>
  <c r="E41" i="24"/>
  <c r="F41" i="24"/>
  <c r="G41" i="24"/>
  <c r="H41" i="24"/>
  <c r="I41" i="24"/>
  <c r="J41" i="24"/>
  <c r="K41" i="24"/>
  <c r="L41" i="24"/>
  <c r="M41" i="24"/>
  <c r="O41" i="24"/>
  <c r="P41" i="24"/>
  <c r="Q41" i="24"/>
  <c r="R41" i="24"/>
  <c r="S41" i="24"/>
  <c r="T41" i="24"/>
  <c r="U41" i="24"/>
  <c r="A59" i="24"/>
  <c r="B59" i="24"/>
  <c r="C59" i="24"/>
  <c r="D59" i="24"/>
  <c r="E59" i="24"/>
  <c r="F59" i="24"/>
  <c r="G59" i="24"/>
  <c r="H59" i="24"/>
  <c r="I59" i="24"/>
  <c r="J59" i="24"/>
  <c r="K59" i="24"/>
  <c r="L59" i="24"/>
  <c r="M59" i="24"/>
  <c r="N59" i="24"/>
  <c r="O59" i="24"/>
  <c r="P59" i="24"/>
  <c r="Q59" i="24"/>
  <c r="R59" i="24"/>
  <c r="S59" i="24"/>
  <c r="T59" i="24"/>
  <c r="U59" i="24"/>
  <c r="A60" i="24"/>
  <c r="B60" i="24"/>
  <c r="C60" i="24"/>
  <c r="D60" i="24"/>
  <c r="E60" i="24"/>
  <c r="F60" i="24"/>
  <c r="G60" i="24"/>
  <c r="H60" i="24"/>
  <c r="I60" i="24"/>
  <c r="J60" i="24"/>
  <c r="K60" i="24"/>
  <c r="L60" i="24"/>
  <c r="M60" i="24"/>
  <c r="N60" i="24"/>
  <c r="O60" i="24"/>
  <c r="P60" i="24"/>
  <c r="Q60" i="24"/>
  <c r="R60" i="24"/>
  <c r="S60" i="24"/>
  <c r="T60" i="24"/>
  <c r="U60" i="24"/>
  <c r="A12" i="24"/>
  <c r="B12" i="24"/>
  <c r="C12" i="24"/>
  <c r="D12" i="24"/>
  <c r="E12" i="24"/>
  <c r="F12" i="24"/>
  <c r="G12" i="24"/>
  <c r="H12" i="24"/>
  <c r="I12" i="24"/>
  <c r="J12" i="24"/>
  <c r="K12" i="24"/>
  <c r="L12" i="24"/>
  <c r="M12" i="24"/>
  <c r="N12" i="24"/>
  <c r="O12" i="24"/>
  <c r="P12" i="24"/>
  <c r="Q12" i="24"/>
  <c r="R12" i="24"/>
  <c r="S12" i="24"/>
  <c r="T12" i="24"/>
  <c r="U12" i="24"/>
  <c r="A7" i="24"/>
  <c r="B7" i="24"/>
  <c r="C7" i="24"/>
  <c r="D7" i="24"/>
  <c r="E7" i="24"/>
  <c r="F7" i="24"/>
  <c r="G7" i="24"/>
  <c r="H7" i="24"/>
  <c r="I7" i="24"/>
  <c r="J7" i="24"/>
  <c r="K7" i="24"/>
  <c r="M7" i="24"/>
  <c r="O7" i="24"/>
  <c r="P7" i="24"/>
  <c r="Q7" i="24"/>
  <c r="R7" i="24"/>
  <c r="S7" i="24"/>
  <c r="T7" i="24"/>
  <c r="U7" i="24"/>
  <c r="A283" i="25"/>
  <c r="B283" i="25"/>
  <c r="C283" i="25"/>
  <c r="D283" i="25"/>
  <c r="E283" i="25"/>
  <c r="F283" i="25"/>
  <c r="G283" i="25"/>
  <c r="H283" i="25"/>
  <c r="I283" i="25"/>
  <c r="J283" i="25"/>
  <c r="K283" i="25"/>
  <c r="M283" i="25"/>
  <c r="N283" i="25"/>
  <c r="O283" i="25"/>
  <c r="P283" i="25"/>
  <c r="Q283" i="25"/>
  <c r="R283" i="25"/>
  <c r="S283" i="25"/>
  <c r="T283" i="25"/>
  <c r="U283" i="25"/>
  <c r="A363" i="25"/>
  <c r="B363" i="25"/>
  <c r="C363" i="25"/>
  <c r="D363" i="25"/>
  <c r="F363" i="25"/>
  <c r="G363" i="25"/>
  <c r="H363" i="25"/>
  <c r="I363" i="25"/>
  <c r="J363" i="25"/>
  <c r="K363" i="25"/>
  <c r="L363" i="25"/>
  <c r="M363" i="25"/>
  <c r="O363" i="25"/>
  <c r="P363" i="25"/>
  <c r="Q363" i="25"/>
  <c r="R363" i="25"/>
  <c r="S363" i="25"/>
  <c r="T363" i="25"/>
  <c r="U363" i="25"/>
  <c r="A389" i="25"/>
  <c r="B389" i="25"/>
  <c r="C389" i="25"/>
  <c r="D389" i="25"/>
  <c r="F389" i="25"/>
  <c r="G389" i="25"/>
  <c r="H389" i="25"/>
  <c r="I389" i="25"/>
  <c r="J389" i="25"/>
  <c r="K389" i="25"/>
  <c r="M389" i="25"/>
  <c r="N389" i="25"/>
  <c r="O389" i="25"/>
  <c r="P389" i="25"/>
  <c r="Q389" i="25"/>
  <c r="R389" i="25"/>
  <c r="S389" i="25"/>
  <c r="T389" i="25"/>
  <c r="U389" i="25"/>
  <c r="A390" i="25"/>
  <c r="B390" i="25"/>
  <c r="C390" i="25"/>
  <c r="D390" i="25"/>
  <c r="F390" i="25"/>
  <c r="G390" i="25"/>
  <c r="H390" i="25"/>
  <c r="I390" i="25"/>
  <c r="J390" i="25"/>
  <c r="K390" i="25"/>
  <c r="M390" i="25"/>
  <c r="N390" i="25"/>
  <c r="O390" i="25"/>
  <c r="P390" i="25"/>
  <c r="Q390" i="25"/>
  <c r="R390" i="25"/>
  <c r="S390" i="25"/>
  <c r="T390" i="25"/>
  <c r="U390" i="25"/>
  <c r="A284" i="25"/>
  <c r="B284" i="25"/>
  <c r="C284" i="25"/>
  <c r="D284" i="25"/>
  <c r="F284" i="25"/>
  <c r="G284" i="25"/>
  <c r="H284" i="25"/>
  <c r="I284" i="25"/>
  <c r="J284" i="25"/>
  <c r="K284" i="25"/>
  <c r="L284" i="25"/>
  <c r="M284" i="25"/>
  <c r="N284" i="25"/>
  <c r="O284" i="25"/>
  <c r="P284" i="25"/>
  <c r="Q284" i="25"/>
  <c r="R284" i="25"/>
  <c r="S284" i="25"/>
  <c r="T284" i="25"/>
  <c r="U284" i="25"/>
  <c r="A307" i="25"/>
  <c r="B307" i="25"/>
  <c r="C307" i="25"/>
  <c r="D307" i="25"/>
  <c r="F307" i="25"/>
  <c r="G307" i="25"/>
  <c r="H307" i="25"/>
  <c r="I307" i="25"/>
  <c r="J307" i="25"/>
  <c r="K307" i="25"/>
  <c r="L307" i="25"/>
  <c r="M307" i="25"/>
  <c r="O307" i="25"/>
  <c r="P307" i="25"/>
  <c r="Q307" i="25"/>
  <c r="R307" i="25"/>
  <c r="S307" i="25"/>
  <c r="T307" i="25"/>
  <c r="U307" i="25"/>
  <c r="A336" i="25"/>
  <c r="B336" i="25"/>
  <c r="C336" i="25"/>
  <c r="D336" i="25"/>
  <c r="F336" i="25"/>
  <c r="G336" i="25"/>
  <c r="H336" i="25"/>
  <c r="I336" i="25"/>
  <c r="J336" i="25"/>
  <c r="K336" i="25"/>
  <c r="M336" i="25"/>
  <c r="O336" i="25"/>
  <c r="P336" i="25"/>
  <c r="Q336" i="25"/>
  <c r="R336" i="25"/>
  <c r="S336" i="25"/>
  <c r="T336" i="25"/>
  <c r="U336" i="25"/>
  <c r="A364" i="25"/>
  <c r="B364" i="25"/>
  <c r="C364" i="25"/>
  <c r="D364" i="25"/>
  <c r="F364" i="25"/>
  <c r="G364" i="25"/>
  <c r="H364" i="25"/>
  <c r="I364" i="25"/>
  <c r="J364" i="25"/>
  <c r="K364" i="25"/>
  <c r="M364" i="25"/>
  <c r="O364" i="25"/>
  <c r="P364" i="25"/>
  <c r="Q364" i="25"/>
  <c r="R364" i="25"/>
  <c r="S364" i="25"/>
  <c r="T364" i="25"/>
  <c r="U364" i="25"/>
  <c r="A387" i="25"/>
  <c r="B387" i="25"/>
  <c r="C387" i="25"/>
  <c r="D387" i="25"/>
  <c r="F387" i="25"/>
  <c r="G387" i="25"/>
  <c r="H387" i="25"/>
  <c r="I387" i="25"/>
  <c r="J387" i="25"/>
  <c r="K387" i="25"/>
  <c r="M387" i="25"/>
  <c r="O387" i="25"/>
  <c r="P387" i="25"/>
  <c r="Q387" i="25"/>
  <c r="R387" i="25"/>
  <c r="S387" i="25"/>
  <c r="T387" i="25"/>
  <c r="U387" i="25"/>
  <c r="A204" i="25"/>
  <c r="B204" i="25"/>
  <c r="C204" i="25"/>
  <c r="D204" i="25"/>
  <c r="F204" i="25"/>
  <c r="G204" i="25"/>
  <c r="H204" i="25"/>
  <c r="I204" i="25"/>
  <c r="J204" i="25"/>
  <c r="K204" i="25"/>
  <c r="M204" i="25"/>
  <c r="O204" i="25"/>
  <c r="P204" i="25"/>
  <c r="Q204" i="25"/>
  <c r="R204" i="25"/>
  <c r="S204" i="25"/>
  <c r="T204" i="25"/>
  <c r="U204" i="25"/>
  <c r="A218" i="25"/>
  <c r="B218" i="25"/>
  <c r="C218" i="25"/>
  <c r="D218" i="25"/>
  <c r="F218" i="25"/>
  <c r="G218" i="25"/>
  <c r="H218" i="25"/>
  <c r="I218" i="25"/>
  <c r="J218" i="25"/>
  <c r="K218" i="25"/>
  <c r="M218" i="25"/>
  <c r="O218" i="25"/>
  <c r="P218" i="25"/>
  <c r="Q218" i="25"/>
  <c r="R218" i="25"/>
  <c r="S218" i="25"/>
  <c r="T218" i="25"/>
  <c r="U218" i="25"/>
  <c r="A308" i="25"/>
  <c r="B308" i="25"/>
  <c r="C308" i="25"/>
  <c r="D308" i="25"/>
  <c r="F308" i="25"/>
  <c r="G308" i="25"/>
  <c r="H308" i="25"/>
  <c r="I308" i="25"/>
  <c r="J308" i="25"/>
  <c r="K308" i="25"/>
  <c r="M308" i="25"/>
  <c r="O308" i="25"/>
  <c r="P308" i="25"/>
  <c r="Q308" i="25"/>
  <c r="R308" i="25"/>
  <c r="S308" i="25"/>
  <c r="T308" i="25"/>
  <c r="U308" i="25"/>
  <c r="A340" i="25"/>
  <c r="B340" i="25"/>
  <c r="C340" i="25"/>
  <c r="D340" i="25"/>
  <c r="F340" i="25"/>
  <c r="G340" i="25"/>
  <c r="H340" i="25"/>
  <c r="I340" i="25"/>
  <c r="J340" i="25"/>
  <c r="K340" i="25"/>
  <c r="M340" i="25"/>
  <c r="O340" i="25"/>
  <c r="P340" i="25"/>
  <c r="Q340" i="25"/>
  <c r="R340" i="25"/>
  <c r="S340" i="25"/>
  <c r="T340" i="25"/>
  <c r="U340" i="25"/>
  <c r="A135" i="25"/>
  <c r="B135" i="25"/>
  <c r="C135" i="25"/>
  <c r="D135" i="25"/>
  <c r="E135" i="25"/>
  <c r="F135" i="25"/>
  <c r="G135" i="25"/>
  <c r="H135" i="25"/>
  <c r="I135" i="25"/>
  <c r="J135" i="25"/>
  <c r="K135" i="25"/>
  <c r="L135" i="25"/>
  <c r="M135" i="25"/>
  <c r="N135" i="25"/>
  <c r="O135" i="25"/>
  <c r="P135" i="25"/>
  <c r="Q135" i="25"/>
  <c r="R135" i="25"/>
  <c r="S135" i="25"/>
  <c r="T135" i="25"/>
  <c r="U135" i="25"/>
  <c r="A136" i="25"/>
  <c r="B136" i="25"/>
  <c r="C136" i="25"/>
  <c r="D136" i="25"/>
  <c r="E136" i="25"/>
  <c r="F136" i="25"/>
  <c r="G136" i="25"/>
  <c r="H136" i="25"/>
  <c r="I136" i="25"/>
  <c r="J136" i="25"/>
  <c r="K136" i="25"/>
  <c r="M136" i="25"/>
  <c r="O136" i="25"/>
  <c r="Q136" i="25"/>
  <c r="R136" i="25"/>
  <c r="S136" i="25"/>
  <c r="T136" i="25"/>
  <c r="U136" i="25"/>
  <c r="A189" i="25"/>
  <c r="B189" i="25"/>
  <c r="C189" i="25"/>
  <c r="D189" i="25"/>
  <c r="E189" i="25"/>
  <c r="F189" i="25"/>
  <c r="G189" i="25"/>
  <c r="H189" i="25"/>
  <c r="I189" i="25"/>
  <c r="J189" i="25"/>
  <c r="K189" i="25"/>
  <c r="L189" i="25"/>
  <c r="M189" i="25"/>
  <c r="N189" i="25"/>
  <c r="O189" i="25"/>
  <c r="P189" i="25"/>
  <c r="Q189" i="25"/>
  <c r="R189" i="25"/>
  <c r="S189" i="25"/>
  <c r="T189" i="25"/>
  <c r="U189" i="25"/>
  <c r="A190" i="25"/>
  <c r="B190" i="25"/>
  <c r="C190" i="25"/>
  <c r="D190" i="25"/>
  <c r="E190" i="25"/>
  <c r="F190" i="25"/>
  <c r="G190" i="25"/>
  <c r="H190" i="25"/>
  <c r="I190" i="25"/>
  <c r="J190" i="25"/>
  <c r="K190" i="25"/>
  <c r="M190" i="25"/>
  <c r="O190" i="25"/>
  <c r="P190" i="25"/>
  <c r="Q190" i="25"/>
  <c r="R190" i="25"/>
  <c r="S190" i="25"/>
  <c r="T190" i="25"/>
  <c r="U190" i="25"/>
  <c r="A210" i="25"/>
  <c r="B210" i="25"/>
  <c r="C210" i="25"/>
  <c r="D210" i="25"/>
  <c r="E210" i="25"/>
  <c r="F210" i="25"/>
  <c r="G210" i="25"/>
  <c r="H210" i="25"/>
  <c r="I210" i="25"/>
  <c r="J210" i="25"/>
  <c r="K210" i="25"/>
  <c r="L210" i="25"/>
  <c r="M210" i="25"/>
  <c r="N210" i="25"/>
  <c r="O210" i="25"/>
  <c r="Q210" i="25"/>
  <c r="R210" i="25"/>
  <c r="S210" i="25"/>
  <c r="T210" i="25"/>
  <c r="U210" i="25"/>
  <c r="A211" i="25"/>
  <c r="B211" i="25"/>
  <c r="C211" i="25"/>
  <c r="D211" i="25"/>
  <c r="E211" i="25"/>
  <c r="F211" i="25"/>
  <c r="G211" i="25"/>
  <c r="H211" i="25"/>
  <c r="I211" i="25"/>
  <c r="J211" i="25"/>
  <c r="K211" i="25"/>
  <c r="M211" i="25"/>
  <c r="N211" i="25"/>
  <c r="O211" i="25"/>
  <c r="P211" i="25"/>
  <c r="Q211" i="25"/>
  <c r="R211" i="25"/>
  <c r="S211" i="25"/>
  <c r="T211" i="25"/>
  <c r="U211" i="25"/>
  <c r="A285" i="25"/>
  <c r="B285" i="25"/>
  <c r="C285" i="25"/>
  <c r="D285" i="25"/>
  <c r="E285" i="25"/>
  <c r="F285" i="25"/>
  <c r="G285" i="25"/>
  <c r="H285" i="25"/>
  <c r="I285" i="25"/>
  <c r="J285" i="25"/>
  <c r="K285" i="25"/>
  <c r="L285" i="25"/>
  <c r="M285" i="25"/>
  <c r="N285" i="25"/>
  <c r="O285" i="25"/>
  <c r="P285" i="25"/>
  <c r="Q285" i="25"/>
  <c r="R285" i="25"/>
  <c r="S285" i="25"/>
  <c r="T285" i="25"/>
  <c r="U285" i="25"/>
  <c r="A133" i="25"/>
  <c r="B133" i="25"/>
  <c r="C133" i="25"/>
  <c r="D133" i="25"/>
  <c r="F133" i="25"/>
  <c r="G133" i="25"/>
  <c r="H133" i="25"/>
  <c r="I133" i="25"/>
  <c r="J133" i="25"/>
  <c r="K133" i="25"/>
  <c r="L133" i="25"/>
  <c r="M133" i="25"/>
  <c r="N133" i="25"/>
  <c r="O133" i="25"/>
  <c r="P133" i="25"/>
  <c r="Q133" i="25"/>
  <c r="R133" i="25"/>
  <c r="S133" i="25"/>
  <c r="T133" i="25"/>
  <c r="U133" i="25"/>
  <c r="A143" i="25"/>
  <c r="B143" i="25"/>
  <c r="C143" i="25"/>
  <c r="D143" i="25"/>
  <c r="F143" i="25"/>
  <c r="G143" i="25"/>
  <c r="H143" i="25"/>
  <c r="I143" i="25"/>
  <c r="J143" i="25"/>
  <c r="K143" i="25"/>
  <c r="L143" i="25"/>
  <c r="M143" i="25"/>
  <c r="O143" i="25"/>
  <c r="P143" i="25"/>
  <c r="Q143" i="25"/>
  <c r="R143" i="25"/>
  <c r="S143" i="25"/>
  <c r="T143" i="25"/>
  <c r="U143" i="25"/>
  <c r="A180" i="25"/>
  <c r="B180" i="25"/>
  <c r="C180" i="25"/>
  <c r="D180" i="25"/>
  <c r="F180" i="25"/>
  <c r="G180" i="25"/>
  <c r="H180" i="25"/>
  <c r="I180" i="25"/>
  <c r="J180" i="25"/>
  <c r="K180" i="25"/>
  <c r="M180" i="25"/>
  <c r="O180" i="25"/>
  <c r="P180" i="25"/>
  <c r="Q180" i="25"/>
  <c r="R180" i="25"/>
  <c r="S180" i="25"/>
  <c r="T180" i="25"/>
  <c r="U180" i="25"/>
  <c r="A192" i="25"/>
  <c r="B192" i="25"/>
  <c r="C192" i="25"/>
  <c r="D192" i="25"/>
  <c r="F192" i="25"/>
  <c r="G192" i="25"/>
  <c r="H192" i="25"/>
  <c r="I192" i="25"/>
  <c r="J192" i="25"/>
  <c r="K192" i="25"/>
  <c r="L192" i="25"/>
  <c r="M192" i="25"/>
  <c r="O192" i="25"/>
  <c r="P192" i="25"/>
  <c r="Q192" i="25"/>
  <c r="R192" i="25"/>
  <c r="S192" i="25"/>
  <c r="T192" i="25"/>
  <c r="U192" i="25"/>
  <c r="A215" i="25"/>
  <c r="B215" i="25"/>
  <c r="C215" i="25"/>
  <c r="D215" i="25"/>
  <c r="F215" i="25"/>
  <c r="G215" i="25"/>
  <c r="H215" i="25"/>
  <c r="I215" i="25"/>
  <c r="J215" i="25"/>
  <c r="K215" i="25"/>
  <c r="M215" i="25"/>
  <c r="N215" i="25"/>
  <c r="O215" i="25"/>
  <c r="P215" i="25"/>
  <c r="Q215" i="25"/>
  <c r="R215" i="25"/>
  <c r="S215" i="25"/>
  <c r="T215" i="25"/>
  <c r="U215" i="25"/>
  <c r="A216" i="25"/>
  <c r="B216" i="25"/>
  <c r="C216" i="25"/>
  <c r="D216" i="25"/>
  <c r="F216" i="25"/>
  <c r="G216" i="25"/>
  <c r="H216" i="25"/>
  <c r="I216" i="25"/>
  <c r="J216" i="25"/>
  <c r="K216" i="25"/>
  <c r="M216" i="25"/>
  <c r="N216" i="25"/>
  <c r="O216" i="25"/>
  <c r="P216" i="25"/>
  <c r="Q216" i="25"/>
  <c r="R216" i="25"/>
  <c r="S216" i="25"/>
  <c r="T216" i="25"/>
  <c r="U216" i="25"/>
  <c r="A217" i="25"/>
  <c r="B217" i="25"/>
  <c r="C217" i="25"/>
  <c r="D217" i="25"/>
  <c r="F217" i="25"/>
  <c r="G217" i="25"/>
  <c r="H217" i="25"/>
  <c r="I217" i="25"/>
  <c r="J217" i="25"/>
  <c r="K217" i="25"/>
  <c r="M217" i="25"/>
  <c r="O217" i="25"/>
  <c r="P217" i="25"/>
  <c r="Q217" i="25"/>
  <c r="R217" i="25"/>
  <c r="S217" i="25"/>
  <c r="T217" i="25"/>
  <c r="U217" i="25"/>
  <c r="A219" i="25"/>
  <c r="B219" i="25"/>
  <c r="C219" i="25"/>
  <c r="D219" i="25"/>
  <c r="F219" i="25"/>
  <c r="G219" i="25"/>
  <c r="H219" i="25"/>
  <c r="I219" i="25"/>
  <c r="J219" i="25"/>
  <c r="K219" i="25"/>
  <c r="L219" i="25"/>
  <c r="M219" i="25"/>
  <c r="O219" i="25"/>
  <c r="Q219" i="25"/>
  <c r="R219" i="25"/>
  <c r="S219" i="25"/>
  <c r="T219" i="25"/>
  <c r="U219" i="25"/>
  <c r="A282" i="25"/>
  <c r="B282" i="25"/>
  <c r="C282" i="25"/>
  <c r="D282" i="25"/>
  <c r="F282" i="25"/>
  <c r="G282" i="25"/>
  <c r="H282" i="25"/>
  <c r="I282" i="25"/>
  <c r="J282" i="25"/>
  <c r="K282" i="25"/>
  <c r="M282" i="25"/>
  <c r="O282" i="25"/>
  <c r="P282" i="25"/>
  <c r="Q282" i="25"/>
  <c r="R282" i="25"/>
  <c r="S282" i="25"/>
  <c r="T282" i="25"/>
  <c r="U282" i="25"/>
  <c r="A303" i="25"/>
  <c r="B303" i="25"/>
  <c r="C303" i="25"/>
  <c r="D303" i="25"/>
  <c r="F303" i="25"/>
  <c r="G303" i="25"/>
  <c r="H303" i="25"/>
  <c r="I303" i="25"/>
  <c r="J303" i="25"/>
  <c r="K303" i="25"/>
  <c r="L303" i="25"/>
  <c r="M303" i="25"/>
  <c r="O303" i="25"/>
  <c r="P303" i="25"/>
  <c r="Q303" i="25"/>
  <c r="R303" i="25"/>
  <c r="S303" i="25"/>
  <c r="T303" i="25"/>
  <c r="U303" i="25"/>
  <c r="A306" i="25"/>
  <c r="B306" i="25"/>
  <c r="C306" i="25"/>
  <c r="D306" i="25"/>
  <c r="F306" i="25"/>
  <c r="G306" i="25"/>
  <c r="H306" i="25"/>
  <c r="I306" i="25"/>
  <c r="J306" i="25"/>
  <c r="K306" i="25"/>
  <c r="L306" i="25"/>
  <c r="M306" i="25"/>
  <c r="O306" i="25"/>
  <c r="Q306" i="25"/>
  <c r="R306" i="25"/>
  <c r="S306" i="25"/>
  <c r="T306" i="25"/>
  <c r="U306" i="25"/>
  <c r="A337" i="25"/>
  <c r="B337" i="25"/>
  <c r="C337" i="25"/>
  <c r="D337" i="25"/>
  <c r="F337" i="25"/>
  <c r="G337" i="25"/>
  <c r="H337" i="25"/>
  <c r="I337" i="25"/>
  <c r="J337" i="25"/>
  <c r="K337" i="25"/>
  <c r="M337" i="25"/>
  <c r="O337" i="25"/>
  <c r="P337" i="25"/>
  <c r="Q337" i="25"/>
  <c r="R337" i="25"/>
  <c r="S337" i="25"/>
  <c r="T337" i="25"/>
  <c r="U337" i="25"/>
  <c r="A80" i="25"/>
  <c r="B80" i="25"/>
  <c r="C80" i="25"/>
  <c r="D80" i="25"/>
  <c r="F80" i="25"/>
  <c r="G80" i="25"/>
  <c r="H80" i="25"/>
  <c r="I80" i="25"/>
  <c r="J80" i="25"/>
  <c r="K80" i="25"/>
  <c r="L80" i="25"/>
  <c r="M80" i="25"/>
  <c r="O80" i="25"/>
  <c r="P80" i="25"/>
  <c r="Q80" i="25"/>
  <c r="R80" i="25"/>
  <c r="S80" i="25"/>
  <c r="T80" i="25"/>
  <c r="U80" i="25"/>
  <c r="A13" i="25"/>
  <c r="B13" i="25"/>
  <c r="C13" i="25"/>
  <c r="D13" i="25"/>
  <c r="F13" i="25"/>
  <c r="G13" i="25"/>
  <c r="H13" i="25"/>
  <c r="I13" i="25"/>
  <c r="J13" i="25"/>
  <c r="K13" i="25"/>
  <c r="M13" i="25"/>
  <c r="N13" i="25"/>
  <c r="O13" i="25"/>
  <c r="P13" i="25"/>
  <c r="Q13" i="25"/>
  <c r="R13" i="25"/>
  <c r="S13" i="25"/>
  <c r="T13" i="25"/>
  <c r="U13" i="25"/>
  <c r="A409" i="25"/>
  <c r="B409" i="25"/>
  <c r="C409" i="25"/>
  <c r="D409" i="25"/>
  <c r="E409" i="25"/>
  <c r="F409" i="25"/>
  <c r="G409" i="25"/>
  <c r="H409" i="25"/>
  <c r="I409" i="25"/>
  <c r="J409" i="25"/>
  <c r="K409" i="25"/>
  <c r="M409" i="25"/>
  <c r="O409" i="25"/>
  <c r="P409" i="25"/>
  <c r="Q409" i="25"/>
  <c r="R409" i="25"/>
  <c r="S409" i="25"/>
  <c r="T409" i="25"/>
  <c r="U409" i="25"/>
  <c r="A68" i="25"/>
  <c r="B68" i="25"/>
  <c r="C68" i="25"/>
  <c r="D68" i="25"/>
  <c r="F68" i="25"/>
  <c r="G68" i="25"/>
  <c r="H68" i="25"/>
  <c r="I68" i="25"/>
  <c r="J68" i="25"/>
  <c r="K68" i="25"/>
  <c r="M68" i="25"/>
  <c r="O68" i="25"/>
  <c r="P68" i="25"/>
  <c r="Q68" i="25"/>
  <c r="R68" i="25"/>
  <c r="S68" i="25"/>
  <c r="T68" i="25"/>
  <c r="U68" i="25"/>
  <c r="A79" i="25"/>
  <c r="B79" i="25"/>
  <c r="C79" i="25"/>
  <c r="D79" i="25"/>
  <c r="F79" i="25"/>
  <c r="G79" i="25"/>
  <c r="H79" i="25"/>
  <c r="I79" i="25"/>
  <c r="J79" i="25"/>
  <c r="K79" i="25"/>
  <c r="M79" i="25"/>
  <c r="O79" i="25"/>
  <c r="P79" i="25"/>
  <c r="Q79" i="25"/>
  <c r="R79" i="25"/>
  <c r="S79" i="25"/>
  <c r="T79" i="25"/>
  <c r="U79" i="25"/>
  <c r="A111" i="25"/>
  <c r="B111" i="25"/>
  <c r="C111" i="25"/>
  <c r="D111" i="25"/>
  <c r="F111" i="25"/>
  <c r="G111" i="25"/>
  <c r="H111" i="25"/>
  <c r="I111" i="25"/>
  <c r="J111" i="25"/>
  <c r="K111" i="25"/>
  <c r="M111" i="25"/>
  <c r="O111" i="25"/>
  <c r="P111" i="25"/>
  <c r="Q111" i="25"/>
  <c r="R111" i="25"/>
  <c r="S111" i="25"/>
  <c r="T111" i="25"/>
  <c r="U111" i="25"/>
  <c r="A162" i="25"/>
  <c r="B162" i="25"/>
  <c r="C162" i="25"/>
  <c r="D162" i="25"/>
  <c r="F162" i="25"/>
  <c r="G162" i="25"/>
  <c r="H162" i="25"/>
  <c r="I162" i="25"/>
  <c r="J162" i="25"/>
  <c r="K162" i="25"/>
  <c r="M162" i="25"/>
  <c r="O162" i="25"/>
  <c r="P162" i="25"/>
  <c r="Q162" i="25"/>
  <c r="R162" i="25"/>
  <c r="S162" i="25"/>
  <c r="T162" i="25"/>
  <c r="U162" i="25"/>
  <c r="A232" i="25"/>
  <c r="B232" i="25"/>
  <c r="C232" i="25"/>
  <c r="D232" i="25"/>
  <c r="F232" i="25"/>
  <c r="G232" i="25"/>
  <c r="H232" i="25"/>
  <c r="I232" i="25"/>
  <c r="J232" i="25"/>
  <c r="K232" i="25"/>
  <c r="M232" i="25"/>
  <c r="O232" i="25"/>
  <c r="P232" i="25"/>
  <c r="Q232" i="25"/>
  <c r="R232" i="25"/>
  <c r="S232" i="25"/>
  <c r="T232" i="25"/>
  <c r="U232" i="25"/>
  <c r="A270" i="25"/>
  <c r="B270" i="25"/>
  <c r="C270" i="25"/>
  <c r="D270" i="25"/>
  <c r="F270" i="25"/>
  <c r="G270" i="25"/>
  <c r="H270" i="25"/>
  <c r="I270" i="25"/>
  <c r="J270" i="25"/>
  <c r="K270" i="25"/>
  <c r="L270" i="25"/>
  <c r="M270" i="25"/>
  <c r="O270" i="25"/>
  <c r="P270" i="25"/>
  <c r="Q270" i="25"/>
  <c r="R270" i="25"/>
  <c r="S270" i="25"/>
  <c r="T270" i="25"/>
  <c r="U270" i="25"/>
  <c r="A293" i="25"/>
  <c r="B293" i="25"/>
  <c r="C293" i="25"/>
  <c r="D293" i="25"/>
  <c r="F293" i="25"/>
  <c r="G293" i="25"/>
  <c r="H293" i="25"/>
  <c r="I293" i="25"/>
  <c r="J293" i="25"/>
  <c r="K293" i="25"/>
  <c r="L293" i="25"/>
  <c r="M293" i="25"/>
  <c r="O293" i="25"/>
  <c r="P293" i="25"/>
  <c r="Q293" i="25"/>
  <c r="R293" i="25"/>
  <c r="S293" i="25"/>
  <c r="T293" i="25"/>
  <c r="U293" i="25"/>
  <c r="A29" i="25"/>
  <c r="B29" i="25"/>
  <c r="C29" i="25"/>
  <c r="D29" i="25"/>
  <c r="F29" i="25"/>
  <c r="G29" i="25"/>
  <c r="H29" i="25"/>
  <c r="I29" i="25"/>
  <c r="J29" i="25"/>
  <c r="K29" i="25"/>
  <c r="M29" i="25"/>
  <c r="O29" i="25"/>
  <c r="P29" i="25"/>
  <c r="Q29" i="25"/>
  <c r="R29" i="25"/>
  <c r="S29" i="25"/>
  <c r="T29" i="25"/>
  <c r="U29" i="25"/>
  <c r="A296" i="25"/>
  <c r="B296" i="25"/>
  <c r="C296" i="25"/>
  <c r="D296" i="25"/>
  <c r="F296" i="25"/>
  <c r="G296" i="25"/>
  <c r="H296" i="25"/>
  <c r="I296" i="25"/>
  <c r="J296" i="25"/>
  <c r="K296" i="25"/>
  <c r="M296" i="25"/>
  <c r="O296" i="25"/>
  <c r="P296" i="25"/>
  <c r="Q296" i="25"/>
  <c r="R296" i="25"/>
  <c r="S296" i="25"/>
  <c r="T296" i="25"/>
  <c r="U296" i="25"/>
  <c r="A231" i="25"/>
  <c r="B231" i="25"/>
  <c r="C231" i="25"/>
  <c r="D231" i="25"/>
  <c r="F231" i="25"/>
  <c r="H231" i="25"/>
  <c r="I231" i="25"/>
  <c r="J231" i="25"/>
  <c r="K231" i="25"/>
  <c r="M231" i="25"/>
  <c r="O231" i="25"/>
  <c r="P231" i="25"/>
  <c r="Q231" i="25"/>
  <c r="R231" i="25"/>
  <c r="S231" i="25"/>
  <c r="T231" i="25"/>
  <c r="U231" i="25"/>
  <c r="A255" i="25"/>
  <c r="B255" i="25"/>
  <c r="C255" i="25"/>
  <c r="D255" i="25"/>
  <c r="F255" i="25"/>
  <c r="G255" i="25"/>
  <c r="H255" i="25"/>
  <c r="I255" i="25"/>
  <c r="J255" i="25"/>
  <c r="K255" i="25"/>
  <c r="M255" i="25"/>
  <c r="O255" i="25"/>
  <c r="P255" i="25"/>
  <c r="Q255" i="25"/>
  <c r="R255" i="25"/>
  <c r="S255" i="25"/>
  <c r="T255" i="25"/>
  <c r="U255" i="25"/>
  <c r="A276" i="25"/>
  <c r="B276" i="25"/>
  <c r="C276" i="25"/>
  <c r="D276" i="25"/>
  <c r="F276" i="25"/>
  <c r="G276" i="25"/>
  <c r="H276" i="25"/>
  <c r="I276" i="25"/>
  <c r="J276" i="25"/>
  <c r="K276" i="25"/>
  <c r="M276" i="25"/>
  <c r="O276" i="25"/>
  <c r="P276" i="25"/>
  <c r="Q276" i="25"/>
  <c r="R276" i="25"/>
  <c r="S276" i="25"/>
  <c r="T276" i="25"/>
  <c r="U276" i="25"/>
  <c r="A279" i="25"/>
  <c r="B279" i="25"/>
  <c r="C279" i="25"/>
  <c r="D279" i="25"/>
  <c r="F279" i="25"/>
  <c r="H279" i="25"/>
  <c r="I279" i="25"/>
  <c r="J279" i="25"/>
  <c r="K279" i="25"/>
  <c r="M279" i="25"/>
  <c r="O279" i="25"/>
  <c r="P279" i="25"/>
  <c r="Q279" i="25"/>
  <c r="R279" i="25"/>
  <c r="S279" i="25"/>
  <c r="T279" i="25"/>
  <c r="U279" i="25"/>
  <c r="A292" i="25"/>
  <c r="B292" i="25"/>
  <c r="C292" i="25"/>
  <c r="D292" i="25"/>
  <c r="F292" i="25"/>
  <c r="H292" i="25"/>
  <c r="I292" i="25"/>
  <c r="J292" i="25"/>
  <c r="K292" i="25"/>
  <c r="M292" i="25"/>
  <c r="O292" i="25"/>
  <c r="P292" i="25"/>
  <c r="Q292" i="25"/>
  <c r="R292" i="25"/>
  <c r="S292" i="25"/>
  <c r="T292" i="25"/>
  <c r="U292" i="25"/>
  <c r="A64" i="25"/>
  <c r="B64" i="25"/>
  <c r="C64" i="25"/>
  <c r="D64" i="25"/>
  <c r="F64" i="25"/>
  <c r="G64" i="25"/>
  <c r="H64" i="25"/>
  <c r="I64" i="25"/>
  <c r="J64" i="25"/>
  <c r="K64" i="25"/>
  <c r="M64" i="25"/>
  <c r="O64" i="25"/>
  <c r="P64" i="25"/>
  <c r="Q64" i="25"/>
  <c r="R64" i="25"/>
  <c r="S64" i="25"/>
  <c r="T64" i="25"/>
  <c r="U64" i="25"/>
  <c r="A131" i="25"/>
  <c r="B131" i="25"/>
  <c r="C131" i="25"/>
  <c r="D131" i="25"/>
  <c r="F131" i="25"/>
  <c r="G131" i="25"/>
  <c r="H131" i="25"/>
  <c r="I131" i="25"/>
  <c r="J131" i="25"/>
  <c r="K131" i="25"/>
  <c r="M131" i="25"/>
  <c r="O131" i="25"/>
  <c r="P131" i="25"/>
  <c r="Q131" i="25"/>
  <c r="R131" i="25"/>
  <c r="S131" i="25"/>
  <c r="T131" i="25"/>
  <c r="U131" i="25"/>
  <c r="A161" i="25"/>
  <c r="B161" i="25"/>
  <c r="C161" i="25"/>
  <c r="D161" i="25"/>
  <c r="F161" i="25"/>
  <c r="G161" i="25"/>
  <c r="H161" i="25"/>
  <c r="I161" i="25"/>
  <c r="J161" i="25"/>
  <c r="K161" i="25"/>
  <c r="M161" i="25"/>
  <c r="O161" i="25"/>
  <c r="P161" i="25"/>
  <c r="Q161" i="25"/>
  <c r="R161" i="25"/>
  <c r="S161" i="25"/>
  <c r="T161" i="25"/>
  <c r="U161" i="25"/>
  <c r="A203" i="25"/>
  <c r="B203" i="25"/>
  <c r="C203" i="25"/>
  <c r="D203" i="25"/>
  <c r="F203" i="25"/>
  <c r="G203" i="25"/>
  <c r="H203" i="25"/>
  <c r="I203" i="25"/>
  <c r="J203" i="25"/>
  <c r="K203" i="25"/>
  <c r="L203" i="25"/>
  <c r="M203" i="25"/>
  <c r="O203" i="25"/>
  <c r="P203" i="25"/>
  <c r="Q203" i="25"/>
  <c r="R203" i="25"/>
  <c r="S203" i="25"/>
  <c r="T203" i="25"/>
  <c r="U203" i="25"/>
  <c r="A233" i="25"/>
  <c r="B233" i="25"/>
  <c r="C233" i="25"/>
  <c r="D233" i="25"/>
  <c r="F233" i="25"/>
  <c r="G233" i="25"/>
  <c r="H233" i="25"/>
  <c r="I233" i="25"/>
  <c r="J233" i="25"/>
  <c r="K233" i="25"/>
  <c r="M233" i="25"/>
  <c r="O233" i="25"/>
  <c r="P233" i="25"/>
  <c r="Q233" i="25"/>
  <c r="R233" i="25"/>
  <c r="S233" i="25"/>
  <c r="T233" i="25"/>
  <c r="U233" i="25"/>
  <c r="A171" i="25"/>
  <c r="B171" i="25"/>
  <c r="C171" i="25"/>
  <c r="D171" i="25"/>
  <c r="E171" i="25"/>
  <c r="F171" i="25"/>
  <c r="G171" i="25"/>
  <c r="H171" i="25"/>
  <c r="I171" i="25"/>
  <c r="J171" i="25"/>
  <c r="K171" i="25"/>
  <c r="L171" i="25"/>
  <c r="M171" i="25"/>
  <c r="N171" i="25"/>
  <c r="O171" i="25"/>
  <c r="P171" i="25"/>
  <c r="Q171" i="25"/>
  <c r="R171" i="25"/>
  <c r="S171" i="25"/>
  <c r="T171" i="25"/>
  <c r="U171" i="25"/>
  <c r="A196" i="25"/>
  <c r="B196" i="25"/>
  <c r="C196" i="25"/>
  <c r="D196" i="25"/>
  <c r="F196" i="25"/>
  <c r="G196" i="25"/>
  <c r="H196" i="25"/>
  <c r="I196" i="25"/>
  <c r="J196" i="25"/>
  <c r="K196" i="25"/>
  <c r="L196" i="25"/>
  <c r="M196" i="25"/>
  <c r="N196" i="25"/>
  <c r="O196" i="25"/>
  <c r="P196" i="25"/>
  <c r="Q196" i="25"/>
  <c r="R196" i="25"/>
  <c r="S196" i="25"/>
  <c r="T196" i="25"/>
  <c r="U196" i="25"/>
  <c r="A408" i="25"/>
  <c r="B408" i="25"/>
  <c r="C408" i="25"/>
  <c r="D408" i="25"/>
  <c r="E408" i="25"/>
  <c r="F408" i="25"/>
  <c r="G408" i="25"/>
  <c r="H408" i="25"/>
  <c r="I408" i="25"/>
  <c r="J408" i="25"/>
  <c r="K408" i="25"/>
  <c r="M408" i="25"/>
  <c r="O408" i="25"/>
  <c r="P408" i="25"/>
  <c r="Q408" i="25"/>
  <c r="R408" i="25"/>
  <c r="S408" i="25"/>
  <c r="T408" i="25"/>
  <c r="U408" i="25"/>
  <c r="A386" i="25"/>
  <c r="B386" i="25"/>
  <c r="C386" i="25"/>
  <c r="D386" i="25"/>
  <c r="E386" i="25"/>
  <c r="F386" i="25"/>
  <c r="G386" i="25"/>
  <c r="H386" i="25"/>
  <c r="I386" i="25"/>
  <c r="J386" i="25"/>
  <c r="K386" i="25"/>
  <c r="M386" i="25"/>
  <c r="O386" i="25"/>
  <c r="P386" i="25"/>
  <c r="Q386" i="25"/>
  <c r="R386" i="25"/>
  <c r="S386" i="25"/>
  <c r="T386" i="25"/>
  <c r="U386" i="25"/>
  <c r="A395" i="25"/>
  <c r="B395" i="25"/>
  <c r="C395" i="25"/>
  <c r="D395" i="25"/>
  <c r="F395" i="25"/>
  <c r="G395" i="25"/>
  <c r="H395" i="25"/>
  <c r="I395" i="25"/>
  <c r="J395" i="25"/>
  <c r="K395" i="25"/>
  <c r="M395" i="25"/>
  <c r="O395" i="25"/>
  <c r="P395" i="25"/>
  <c r="Q395" i="25"/>
  <c r="R395" i="25"/>
  <c r="S395" i="25"/>
  <c r="T395" i="25"/>
  <c r="U395" i="25"/>
  <c r="A397" i="25"/>
  <c r="B397" i="25"/>
  <c r="C397" i="25"/>
  <c r="D397" i="25"/>
  <c r="E397" i="25"/>
  <c r="F397" i="25"/>
  <c r="G397" i="25"/>
  <c r="H397" i="25"/>
  <c r="I397" i="25"/>
  <c r="J397" i="25"/>
  <c r="K397" i="25"/>
  <c r="M397" i="25"/>
  <c r="O397" i="25"/>
  <c r="P397" i="25"/>
  <c r="Q397" i="25"/>
  <c r="R397" i="25"/>
  <c r="S397" i="25"/>
  <c r="T397" i="25"/>
  <c r="U397" i="25"/>
  <c r="A403" i="25"/>
  <c r="B403" i="25"/>
  <c r="C403" i="25"/>
  <c r="D403" i="25"/>
  <c r="E403" i="25"/>
  <c r="F403" i="25"/>
  <c r="G403" i="25"/>
  <c r="H403" i="25"/>
  <c r="I403" i="25"/>
  <c r="J403" i="25"/>
  <c r="K403" i="25"/>
  <c r="M403" i="25"/>
  <c r="O403" i="25"/>
  <c r="P403" i="25"/>
  <c r="Q403" i="25"/>
  <c r="R403" i="25"/>
  <c r="S403" i="25"/>
  <c r="T403" i="25"/>
  <c r="U403" i="25"/>
  <c r="A183" i="25"/>
  <c r="B183" i="25"/>
  <c r="C183" i="25"/>
  <c r="D183" i="25"/>
  <c r="F183" i="25"/>
  <c r="G183" i="25"/>
  <c r="H183" i="25"/>
  <c r="I183" i="25"/>
  <c r="J183" i="25"/>
  <c r="K183" i="25"/>
  <c r="M183" i="25"/>
  <c r="O183" i="25"/>
  <c r="P183" i="25"/>
  <c r="Q183" i="25"/>
  <c r="R183" i="25"/>
  <c r="S183" i="25"/>
  <c r="T183" i="25"/>
  <c r="U183" i="25"/>
  <c r="A184" i="25"/>
  <c r="B184" i="25"/>
  <c r="C184" i="25"/>
  <c r="D184" i="25"/>
  <c r="F184" i="25"/>
  <c r="G184" i="25"/>
  <c r="H184" i="25"/>
  <c r="I184" i="25"/>
  <c r="J184" i="25"/>
  <c r="K184" i="25"/>
  <c r="M184" i="25"/>
  <c r="O184" i="25"/>
  <c r="P184" i="25"/>
  <c r="Q184" i="25"/>
  <c r="R184" i="25"/>
  <c r="S184" i="25"/>
  <c r="T184" i="25"/>
  <c r="U184" i="25"/>
  <c r="A185" i="25"/>
  <c r="B185" i="25"/>
  <c r="C185" i="25"/>
  <c r="D185" i="25"/>
  <c r="F185" i="25"/>
  <c r="G185" i="25"/>
  <c r="H185" i="25"/>
  <c r="I185" i="25"/>
  <c r="J185" i="25"/>
  <c r="K185" i="25"/>
  <c r="M185" i="25"/>
  <c r="O185" i="25"/>
  <c r="P185" i="25"/>
  <c r="Q185" i="25"/>
  <c r="R185" i="25"/>
  <c r="S185" i="25"/>
  <c r="T185" i="25"/>
  <c r="U185" i="25"/>
  <c r="A186" i="25"/>
  <c r="B186" i="25"/>
  <c r="C186" i="25"/>
  <c r="D186" i="25"/>
  <c r="F186" i="25"/>
  <c r="G186" i="25"/>
  <c r="H186" i="25"/>
  <c r="I186" i="25"/>
  <c r="J186" i="25"/>
  <c r="K186" i="25"/>
  <c r="M186" i="25"/>
  <c r="O186" i="25"/>
  <c r="P186" i="25"/>
  <c r="Q186" i="25"/>
  <c r="R186" i="25"/>
  <c r="S186" i="25"/>
  <c r="T186" i="25"/>
  <c r="U186" i="25"/>
  <c r="A187" i="25"/>
  <c r="B187" i="25"/>
  <c r="C187" i="25"/>
  <c r="D187" i="25"/>
  <c r="F187" i="25"/>
  <c r="G187" i="25"/>
  <c r="H187" i="25"/>
  <c r="I187" i="25"/>
  <c r="J187" i="25"/>
  <c r="K187" i="25"/>
  <c r="M187" i="25"/>
  <c r="O187" i="25"/>
  <c r="P187" i="25"/>
  <c r="Q187" i="25"/>
  <c r="R187" i="25"/>
  <c r="S187" i="25"/>
  <c r="T187" i="25"/>
  <c r="U187" i="25"/>
  <c r="A202" i="25"/>
  <c r="B202" i="25"/>
  <c r="C202" i="25"/>
  <c r="D202" i="25"/>
  <c r="F202" i="25"/>
  <c r="G202" i="25"/>
  <c r="H202" i="25"/>
  <c r="I202" i="25"/>
  <c r="J202" i="25"/>
  <c r="K202" i="25"/>
  <c r="M202" i="25"/>
  <c r="O202" i="25"/>
  <c r="P202" i="25"/>
  <c r="Q202" i="25"/>
  <c r="R202" i="25"/>
  <c r="S202" i="25"/>
  <c r="T202" i="25"/>
  <c r="U202" i="25"/>
  <c r="A194" i="25"/>
  <c r="B194" i="25"/>
  <c r="C194" i="25"/>
  <c r="D194" i="25"/>
  <c r="F194" i="25"/>
  <c r="G194" i="25"/>
  <c r="H194" i="25"/>
  <c r="I194" i="25"/>
  <c r="J194" i="25"/>
  <c r="K194" i="25"/>
  <c r="L194" i="25"/>
  <c r="M194" i="25"/>
  <c r="O194" i="25"/>
  <c r="P194" i="25"/>
  <c r="Q194" i="25"/>
  <c r="R194" i="25"/>
  <c r="S194" i="25"/>
  <c r="T194" i="25"/>
  <c r="U194" i="25"/>
  <c r="A28" i="25"/>
  <c r="B28" i="25"/>
  <c r="C28" i="25"/>
  <c r="D28" i="25"/>
  <c r="F28" i="25"/>
  <c r="G28" i="25"/>
  <c r="H28" i="25"/>
  <c r="I28" i="25"/>
  <c r="J28" i="25"/>
  <c r="K28" i="25"/>
  <c r="M28" i="25"/>
  <c r="O28" i="25"/>
  <c r="P28" i="25"/>
  <c r="Q28" i="25"/>
  <c r="R28" i="25"/>
  <c r="S28" i="25"/>
  <c r="T28" i="25"/>
  <c r="U28" i="25"/>
  <c r="A44" i="25"/>
  <c r="B44" i="25"/>
  <c r="C44" i="25"/>
  <c r="D44" i="25"/>
  <c r="F44" i="25"/>
  <c r="G44" i="25"/>
  <c r="H44" i="25"/>
  <c r="I44" i="25"/>
  <c r="J44" i="25"/>
  <c r="K44" i="25"/>
  <c r="M44" i="25"/>
  <c r="O44" i="25"/>
  <c r="P44" i="25"/>
  <c r="Q44" i="25"/>
  <c r="R44" i="25"/>
  <c r="S44" i="25"/>
  <c r="T44" i="25"/>
  <c r="U44" i="25"/>
  <c r="A75" i="25"/>
  <c r="B75" i="25"/>
  <c r="C75" i="25"/>
  <c r="D75" i="25"/>
  <c r="F75" i="25"/>
  <c r="G75" i="25"/>
  <c r="H75" i="25"/>
  <c r="I75" i="25"/>
  <c r="J75" i="25"/>
  <c r="K75" i="25"/>
  <c r="M75" i="25"/>
  <c r="O75" i="25"/>
  <c r="P75" i="25"/>
  <c r="Q75" i="25"/>
  <c r="R75" i="25"/>
  <c r="S75" i="25"/>
  <c r="T75" i="25"/>
  <c r="U75" i="25"/>
  <c r="A113" i="25"/>
  <c r="B113" i="25"/>
  <c r="C113" i="25"/>
  <c r="D113" i="25"/>
  <c r="F113" i="25"/>
  <c r="G113" i="25"/>
  <c r="H113" i="25"/>
  <c r="I113" i="25"/>
  <c r="J113" i="25"/>
  <c r="K113" i="25"/>
  <c r="M113" i="25"/>
  <c r="O113" i="25"/>
  <c r="P113" i="25"/>
  <c r="Q113" i="25"/>
  <c r="R113" i="25"/>
  <c r="S113" i="25"/>
  <c r="T113" i="25"/>
  <c r="U113" i="25"/>
  <c r="A130" i="25"/>
  <c r="B130" i="25"/>
  <c r="C130" i="25"/>
  <c r="D130" i="25"/>
  <c r="F130" i="25"/>
  <c r="G130" i="25"/>
  <c r="H130" i="25"/>
  <c r="I130" i="25"/>
  <c r="J130" i="25"/>
  <c r="K130" i="25"/>
  <c r="M130" i="25"/>
  <c r="O130" i="25"/>
  <c r="P130" i="25"/>
  <c r="Q130" i="25"/>
  <c r="R130" i="25"/>
  <c r="S130" i="25"/>
  <c r="T130" i="25"/>
  <c r="U130" i="25"/>
  <c r="A160" i="25"/>
  <c r="B160" i="25"/>
  <c r="C160" i="25"/>
  <c r="D160" i="25"/>
  <c r="F160" i="25"/>
  <c r="G160" i="25"/>
  <c r="H160" i="25"/>
  <c r="I160" i="25"/>
  <c r="J160" i="25"/>
  <c r="K160" i="25"/>
  <c r="M160" i="25"/>
  <c r="O160" i="25"/>
  <c r="P160" i="25"/>
  <c r="Q160" i="25"/>
  <c r="R160" i="25"/>
  <c r="S160" i="25"/>
  <c r="T160" i="25"/>
  <c r="U160" i="25"/>
  <c r="A191" i="25"/>
  <c r="B191" i="25"/>
  <c r="C191" i="25"/>
  <c r="D191" i="25"/>
  <c r="F191" i="25"/>
  <c r="G191" i="25"/>
  <c r="H191" i="25"/>
  <c r="I191" i="25"/>
  <c r="J191" i="25"/>
  <c r="K191" i="25"/>
  <c r="M191" i="25"/>
  <c r="O191" i="25"/>
  <c r="P191" i="25"/>
  <c r="Q191" i="25"/>
  <c r="R191" i="25"/>
  <c r="S191" i="25"/>
  <c r="T191" i="25"/>
  <c r="U191" i="25"/>
  <c r="A242" i="25"/>
  <c r="B242" i="25"/>
  <c r="C242" i="25"/>
  <c r="D242" i="25"/>
  <c r="F242" i="25"/>
  <c r="G242" i="25"/>
  <c r="H242" i="25"/>
  <c r="I242" i="25"/>
  <c r="J242" i="25"/>
  <c r="K242" i="25"/>
  <c r="M242" i="25"/>
  <c r="O242" i="25"/>
  <c r="P242" i="25"/>
  <c r="Q242" i="25"/>
  <c r="R242" i="25"/>
  <c r="S242" i="25"/>
  <c r="T242" i="25"/>
  <c r="U242" i="25"/>
  <c r="A269" i="25"/>
  <c r="B269" i="25"/>
  <c r="C269" i="25"/>
  <c r="D269" i="25"/>
  <c r="F269" i="25"/>
  <c r="G269" i="25"/>
  <c r="H269" i="25"/>
  <c r="I269" i="25"/>
  <c r="J269" i="25"/>
  <c r="K269" i="25"/>
  <c r="M269" i="25"/>
  <c r="O269" i="25"/>
  <c r="P269" i="25"/>
  <c r="Q269" i="25"/>
  <c r="R269" i="25"/>
  <c r="S269" i="25"/>
  <c r="T269" i="25"/>
  <c r="U269" i="25"/>
  <c r="A100" i="25"/>
  <c r="B100" i="25"/>
  <c r="C100" i="25"/>
  <c r="D100" i="25"/>
  <c r="E100" i="25"/>
  <c r="F100" i="25"/>
  <c r="G100" i="25"/>
  <c r="H100" i="25"/>
  <c r="I100" i="25"/>
  <c r="J100" i="25"/>
  <c r="K100" i="25"/>
  <c r="M100" i="25"/>
  <c r="O100" i="25"/>
  <c r="P100" i="25"/>
  <c r="Q100" i="25"/>
  <c r="R100" i="25"/>
  <c r="S100" i="25"/>
  <c r="T100" i="25"/>
  <c r="U100" i="25"/>
  <c r="A101" i="25"/>
  <c r="B101" i="25"/>
  <c r="C101" i="25"/>
  <c r="D101" i="25"/>
  <c r="E101" i="25"/>
  <c r="F101" i="25"/>
  <c r="G101" i="25"/>
  <c r="H101" i="25"/>
  <c r="I101" i="25"/>
  <c r="J101" i="25"/>
  <c r="K101" i="25"/>
  <c r="M101" i="25"/>
  <c r="O101" i="25"/>
  <c r="P101" i="25"/>
  <c r="Q101" i="25"/>
  <c r="R101" i="25"/>
  <c r="S101" i="25"/>
  <c r="T101" i="25"/>
  <c r="U101" i="25"/>
  <c r="A132" i="25"/>
  <c r="B132" i="25"/>
  <c r="C132" i="25"/>
  <c r="D132" i="25"/>
  <c r="E132" i="25"/>
  <c r="F132" i="25"/>
  <c r="G132" i="25"/>
  <c r="H132" i="25"/>
  <c r="I132" i="25"/>
  <c r="J132" i="25"/>
  <c r="K132" i="25"/>
  <c r="M132" i="25"/>
  <c r="O132" i="25"/>
  <c r="P132" i="25"/>
  <c r="Q132" i="25"/>
  <c r="R132" i="25"/>
  <c r="S132" i="25"/>
  <c r="T132" i="25"/>
  <c r="U132" i="25"/>
  <c r="A148" i="25"/>
  <c r="B148" i="25"/>
  <c r="C148" i="25"/>
  <c r="D148" i="25"/>
  <c r="E148" i="25"/>
  <c r="F148" i="25"/>
  <c r="G148" i="25"/>
  <c r="H148" i="25"/>
  <c r="I148" i="25"/>
  <c r="J148" i="25"/>
  <c r="K148" i="25"/>
  <c r="M148" i="25"/>
  <c r="O148" i="25"/>
  <c r="P148" i="25"/>
  <c r="Q148" i="25"/>
  <c r="R148" i="25"/>
  <c r="S148" i="25"/>
  <c r="T148" i="25"/>
  <c r="U148" i="25"/>
  <c r="A149" i="25"/>
  <c r="B149" i="25"/>
  <c r="C149" i="25"/>
  <c r="D149" i="25"/>
  <c r="E149" i="25"/>
  <c r="F149" i="25"/>
  <c r="G149" i="25"/>
  <c r="H149" i="25"/>
  <c r="I149" i="25"/>
  <c r="J149" i="25"/>
  <c r="K149" i="25"/>
  <c r="M149" i="25"/>
  <c r="O149" i="25"/>
  <c r="Q149" i="25"/>
  <c r="R149" i="25"/>
  <c r="S149" i="25"/>
  <c r="T149" i="25"/>
  <c r="U149" i="25"/>
  <c r="A159" i="25"/>
  <c r="B159" i="25"/>
  <c r="C159" i="25"/>
  <c r="D159" i="25"/>
  <c r="E159" i="25"/>
  <c r="F159" i="25"/>
  <c r="G159" i="25"/>
  <c r="H159" i="25"/>
  <c r="I159" i="25"/>
  <c r="J159" i="25"/>
  <c r="K159" i="25"/>
  <c r="M159" i="25"/>
  <c r="O159" i="25"/>
  <c r="P159" i="25"/>
  <c r="Q159" i="25"/>
  <c r="R159" i="25"/>
  <c r="S159" i="25"/>
  <c r="T159" i="25"/>
  <c r="U159" i="25"/>
  <c r="A178" i="25"/>
  <c r="B178" i="25"/>
  <c r="C178" i="25"/>
  <c r="D178" i="25"/>
  <c r="E178" i="25"/>
  <c r="F178" i="25"/>
  <c r="G178" i="25"/>
  <c r="H178" i="25"/>
  <c r="I178" i="25"/>
  <c r="J178" i="25"/>
  <c r="K178" i="25"/>
  <c r="M178" i="25"/>
  <c r="O178" i="25"/>
  <c r="P178" i="25"/>
  <c r="Q178" i="25"/>
  <c r="R178" i="25"/>
  <c r="S178" i="25"/>
  <c r="T178" i="25"/>
  <c r="U178" i="25"/>
  <c r="A179" i="25"/>
  <c r="B179" i="25"/>
  <c r="C179" i="25"/>
  <c r="D179" i="25"/>
  <c r="E179" i="25"/>
  <c r="F179" i="25"/>
  <c r="G179" i="25"/>
  <c r="H179" i="25"/>
  <c r="I179" i="25"/>
  <c r="J179" i="25"/>
  <c r="K179" i="25"/>
  <c r="L179" i="25"/>
  <c r="M179" i="25"/>
  <c r="O179" i="25"/>
  <c r="P179" i="25"/>
  <c r="Q179" i="25"/>
  <c r="R179" i="25"/>
  <c r="S179" i="25"/>
  <c r="T179" i="25"/>
  <c r="U179" i="25"/>
  <c r="A230" i="25"/>
  <c r="B230" i="25"/>
  <c r="C230" i="25"/>
  <c r="D230" i="25"/>
  <c r="E230" i="25"/>
  <c r="F230" i="25"/>
  <c r="G230" i="25"/>
  <c r="H230" i="25"/>
  <c r="I230" i="25"/>
  <c r="J230" i="25"/>
  <c r="K230" i="25"/>
  <c r="M230" i="25"/>
  <c r="O230" i="25"/>
  <c r="P230" i="25"/>
  <c r="Q230" i="25"/>
  <c r="R230" i="25"/>
  <c r="S230" i="25"/>
  <c r="T230" i="25"/>
  <c r="U230" i="25"/>
  <c r="A238" i="25"/>
  <c r="B238" i="25"/>
  <c r="C238" i="25"/>
  <c r="D238" i="25"/>
  <c r="E238" i="25"/>
  <c r="F238" i="25"/>
  <c r="G238" i="25"/>
  <c r="H238" i="25"/>
  <c r="I238" i="25"/>
  <c r="J238" i="25"/>
  <c r="K238" i="25"/>
  <c r="M238" i="25"/>
  <c r="O238" i="25"/>
  <c r="P238" i="25"/>
  <c r="Q238" i="25"/>
  <c r="R238" i="25"/>
  <c r="S238" i="25"/>
  <c r="T238" i="25"/>
  <c r="U238" i="25"/>
  <c r="A240" i="25"/>
  <c r="B240" i="25"/>
  <c r="C240" i="25"/>
  <c r="D240" i="25"/>
  <c r="E240" i="25"/>
  <c r="F240" i="25"/>
  <c r="G240" i="25"/>
  <c r="H240" i="25"/>
  <c r="I240" i="25"/>
  <c r="J240" i="25"/>
  <c r="K240" i="25"/>
  <c r="M240" i="25"/>
  <c r="O240" i="25"/>
  <c r="P240" i="25"/>
  <c r="Q240" i="25"/>
  <c r="R240" i="25"/>
  <c r="S240" i="25"/>
  <c r="T240" i="25"/>
  <c r="U240" i="25"/>
  <c r="A268" i="25"/>
  <c r="B268" i="25"/>
  <c r="C268" i="25"/>
  <c r="D268" i="25"/>
  <c r="E268" i="25"/>
  <c r="F268" i="25"/>
  <c r="G268" i="25"/>
  <c r="H268" i="25"/>
  <c r="I268" i="25"/>
  <c r="J268" i="25"/>
  <c r="K268" i="25"/>
  <c r="M268" i="25"/>
  <c r="O268" i="25"/>
  <c r="Q268" i="25"/>
  <c r="R268" i="25"/>
  <c r="S268" i="25"/>
  <c r="T268" i="25"/>
  <c r="U268" i="25"/>
  <c r="A274" i="25"/>
  <c r="B274" i="25"/>
  <c r="C274" i="25"/>
  <c r="D274" i="25"/>
  <c r="E274" i="25"/>
  <c r="F274" i="25"/>
  <c r="G274" i="25"/>
  <c r="H274" i="25"/>
  <c r="I274" i="25"/>
  <c r="J274" i="25"/>
  <c r="K274" i="25"/>
  <c r="M274" i="25"/>
  <c r="O274" i="25"/>
  <c r="P274" i="25"/>
  <c r="Q274" i="25"/>
  <c r="R274" i="25"/>
  <c r="S274" i="25"/>
  <c r="T274" i="25"/>
  <c r="U274" i="25"/>
  <c r="A287" i="25"/>
  <c r="B287" i="25"/>
  <c r="C287" i="25"/>
  <c r="D287" i="25"/>
  <c r="E287" i="25"/>
  <c r="F287" i="25"/>
  <c r="G287" i="25"/>
  <c r="H287" i="25"/>
  <c r="I287" i="25"/>
  <c r="J287" i="25"/>
  <c r="K287" i="25"/>
  <c r="M287" i="25"/>
  <c r="O287" i="25"/>
  <c r="P287" i="25"/>
  <c r="Q287" i="25"/>
  <c r="R287" i="25"/>
  <c r="S287" i="25"/>
  <c r="T287" i="25"/>
  <c r="U287" i="25"/>
  <c r="A295" i="25"/>
  <c r="B295" i="25"/>
  <c r="C295" i="25"/>
  <c r="D295" i="25"/>
  <c r="E295" i="25"/>
  <c r="F295" i="25"/>
  <c r="G295" i="25"/>
  <c r="H295" i="25"/>
  <c r="I295" i="25"/>
  <c r="J295" i="25"/>
  <c r="K295" i="25"/>
  <c r="M295" i="25"/>
  <c r="O295" i="25"/>
  <c r="Q295" i="25"/>
  <c r="R295" i="25"/>
  <c r="S295" i="25"/>
  <c r="T295" i="25"/>
  <c r="U295" i="25"/>
  <c r="A301" i="25"/>
  <c r="B301" i="25"/>
  <c r="C301" i="25"/>
  <c r="D301" i="25"/>
  <c r="E301" i="25"/>
  <c r="F301" i="25"/>
  <c r="G301" i="25"/>
  <c r="H301" i="25"/>
  <c r="I301" i="25"/>
  <c r="J301" i="25"/>
  <c r="K301" i="25"/>
  <c r="M301" i="25"/>
  <c r="O301" i="25"/>
  <c r="P301" i="25"/>
  <c r="Q301" i="25"/>
  <c r="R301" i="25"/>
  <c r="S301" i="25"/>
  <c r="T301" i="25"/>
  <c r="U301" i="25"/>
  <c r="A327" i="25"/>
  <c r="B327" i="25"/>
  <c r="C327" i="25"/>
  <c r="D327" i="25"/>
  <c r="E327" i="25"/>
  <c r="F327" i="25"/>
  <c r="G327" i="25"/>
  <c r="H327" i="25"/>
  <c r="I327" i="25"/>
  <c r="J327" i="25"/>
  <c r="K327" i="25"/>
  <c r="M327" i="25"/>
  <c r="O327" i="25"/>
  <c r="P327" i="25"/>
  <c r="Q327" i="25"/>
  <c r="R327" i="25"/>
  <c r="S327" i="25"/>
  <c r="T327" i="25"/>
  <c r="U327" i="25"/>
  <c r="A331" i="25"/>
  <c r="B331" i="25"/>
  <c r="C331" i="25"/>
  <c r="D331" i="25"/>
  <c r="E331" i="25"/>
  <c r="F331" i="25"/>
  <c r="G331" i="25"/>
  <c r="H331" i="25"/>
  <c r="I331" i="25"/>
  <c r="J331" i="25"/>
  <c r="K331" i="25"/>
  <c r="M331" i="25"/>
  <c r="O331" i="25"/>
  <c r="P331" i="25"/>
  <c r="Q331" i="25"/>
  <c r="R331" i="25"/>
  <c r="S331" i="25"/>
  <c r="T331" i="25"/>
  <c r="U331" i="25"/>
  <c r="A335" i="25"/>
  <c r="B335" i="25"/>
  <c r="C335" i="25"/>
  <c r="D335" i="25"/>
  <c r="E335" i="25"/>
  <c r="F335" i="25"/>
  <c r="G335" i="25"/>
  <c r="H335" i="25"/>
  <c r="I335" i="25"/>
  <c r="J335" i="25"/>
  <c r="K335" i="25"/>
  <c r="M335" i="25"/>
  <c r="O335" i="25"/>
  <c r="P335" i="25"/>
  <c r="Q335" i="25"/>
  <c r="R335" i="25"/>
  <c r="S335" i="25"/>
  <c r="T335" i="25"/>
  <c r="U335" i="25"/>
  <c r="A355" i="25"/>
  <c r="B355" i="25"/>
  <c r="C355" i="25"/>
  <c r="D355" i="25"/>
  <c r="E355" i="25"/>
  <c r="F355" i="25"/>
  <c r="G355" i="25"/>
  <c r="H355" i="25"/>
  <c r="I355" i="25"/>
  <c r="J355" i="25"/>
  <c r="K355" i="25"/>
  <c r="M355" i="25"/>
  <c r="O355" i="25"/>
  <c r="P355" i="25"/>
  <c r="Q355" i="25"/>
  <c r="R355" i="25"/>
  <c r="S355" i="25"/>
  <c r="T355" i="25"/>
  <c r="U355" i="25"/>
  <c r="A361" i="25"/>
  <c r="B361" i="25"/>
  <c r="C361" i="25"/>
  <c r="D361" i="25"/>
  <c r="E361" i="25"/>
  <c r="F361" i="25"/>
  <c r="G361" i="25"/>
  <c r="H361" i="25"/>
  <c r="I361" i="25"/>
  <c r="J361" i="25"/>
  <c r="K361" i="25"/>
  <c r="M361" i="25"/>
  <c r="O361" i="25"/>
  <c r="P361" i="25"/>
  <c r="Q361" i="25"/>
  <c r="R361" i="25"/>
  <c r="S361" i="25"/>
  <c r="T361" i="25"/>
  <c r="U361" i="25"/>
  <c r="A372" i="25"/>
  <c r="B372" i="25"/>
  <c r="C372" i="25"/>
  <c r="D372" i="25"/>
  <c r="E372" i="25"/>
  <c r="F372" i="25"/>
  <c r="G372" i="25"/>
  <c r="H372" i="25"/>
  <c r="I372" i="25"/>
  <c r="J372" i="25"/>
  <c r="K372" i="25"/>
  <c r="M372" i="25"/>
  <c r="N372" i="25"/>
  <c r="O372" i="25"/>
  <c r="P372" i="25"/>
  <c r="Q372" i="25"/>
  <c r="R372" i="25"/>
  <c r="S372" i="25"/>
  <c r="T372" i="25"/>
  <c r="U372" i="25"/>
  <c r="A379" i="25"/>
  <c r="B379" i="25"/>
  <c r="C379" i="25"/>
  <c r="D379" i="25"/>
  <c r="E379" i="25"/>
  <c r="F379" i="25"/>
  <c r="G379" i="25"/>
  <c r="H379" i="25"/>
  <c r="I379" i="25"/>
  <c r="J379" i="25"/>
  <c r="K379" i="25"/>
  <c r="L379" i="25"/>
  <c r="M379" i="25"/>
  <c r="O379" i="25"/>
  <c r="Q379" i="25"/>
  <c r="R379" i="25"/>
  <c r="S379" i="25"/>
  <c r="T379" i="25"/>
  <c r="U379" i="25"/>
  <c r="A56" i="25"/>
  <c r="B56" i="25"/>
  <c r="C56" i="25"/>
  <c r="D56" i="25"/>
  <c r="E56" i="25"/>
  <c r="F56" i="25"/>
  <c r="G56" i="25"/>
  <c r="H56" i="25"/>
  <c r="I56" i="25"/>
  <c r="J56" i="25"/>
  <c r="K56" i="25"/>
  <c r="M56" i="25"/>
  <c r="O56" i="25"/>
  <c r="P56" i="25"/>
  <c r="Q56" i="25"/>
  <c r="R56" i="25"/>
  <c r="S56" i="25"/>
  <c r="T56" i="25"/>
  <c r="U56" i="25"/>
  <c r="A57" i="25"/>
  <c r="B57" i="25"/>
  <c r="C57" i="25"/>
  <c r="D57" i="25"/>
  <c r="E57" i="25"/>
  <c r="F57" i="25"/>
  <c r="G57" i="25"/>
  <c r="H57" i="25"/>
  <c r="I57" i="25"/>
  <c r="J57" i="25"/>
  <c r="K57" i="25"/>
  <c r="L57" i="25"/>
  <c r="M57" i="25"/>
  <c r="O57" i="25"/>
  <c r="P57" i="25"/>
  <c r="Q57" i="25"/>
  <c r="R57" i="25"/>
  <c r="S57" i="25"/>
  <c r="T57" i="25"/>
  <c r="U57" i="25"/>
  <c r="A120" i="25"/>
  <c r="B120" i="25"/>
  <c r="C120" i="25"/>
  <c r="D120" i="25"/>
  <c r="F120" i="25"/>
  <c r="G120" i="25"/>
  <c r="H120" i="25"/>
  <c r="I120" i="25"/>
  <c r="J120" i="25"/>
  <c r="K120" i="25"/>
  <c r="M120" i="25"/>
  <c r="O120" i="25"/>
  <c r="P120" i="25"/>
  <c r="Q120" i="25"/>
  <c r="R120" i="25"/>
  <c r="S120" i="25"/>
  <c r="T120" i="25"/>
  <c r="U120" i="25"/>
  <c r="A236" i="25"/>
  <c r="B236" i="25"/>
  <c r="C236" i="25"/>
  <c r="D236" i="25"/>
  <c r="E236" i="25"/>
  <c r="F236" i="25"/>
  <c r="G236" i="25"/>
  <c r="H236" i="25"/>
  <c r="I236" i="25"/>
  <c r="J236" i="25"/>
  <c r="K236" i="25"/>
  <c r="M236" i="25"/>
  <c r="O236" i="25"/>
  <c r="P236" i="25"/>
  <c r="Q236" i="25"/>
  <c r="R236" i="25"/>
  <c r="S236" i="25"/>
  <c r="T236" i="25"/>
  <c r="U236" i="25"/>
  <c r="A237" i="25"/>
  <c r="B237" i="25"/>
  <c r="C237" i="25"/>
  <c r="D237" i="25"/>
  <c r="E237" i="25"/>
  <c r="F237" i="25"/>
  <c r="G237" i="25"/>
  <c r="H237" i="25"/>
  <c r="I237" i="25"/>
  <c r="J237" i="25"/>
  <c r="K237" i="25"/>
  <c r="M237" i="25"/>
  <c r="O237" i="25"/>
  <c r="P237" i="25"/>
  <c r="Q237" i="25"/>
  <c r="R237" i="25"/>
  <c r="S237" i="25"/>
  <c r="T237" i="25"/>
  <c r="U237" i="25"/>
  <c r="A294" i="25"/>
  <c r="B294" i="25"/>
  <c r="C294" i="25"/>
  <c r="D294" i="25"/>
  <c r="E294" i="25"/>
  <c r="F294" i="25"/>
  <c r="G294" i="25"/>
  <c r="H294" i="25"/>
  <c r="I294" i="25"/>
  <c r="J294" i="25"/>
  <c r="K294" i="25"/>
  <c r="M294" i="25"/>
  <c r="O294" i="25"/>
  <c r="P294" i="25"/>
  <c r="Q294" i="25"/>
  <c r="R294" i="25"/>
  <c r="S294" i="25"/>
  <c r="T294" i="25"/>
  <c r="U294" i="25"/>
  <c r="A385" i="25"/>
  <c r="B385" i="25"/>
  <c r="C385" i="25"/>
  <c r="D385" i="25"/>
  <c r="E385" i="25"/>
  <c r="F385" i="25"/>
  <c r="G385" i="25"/>
  <c r="H385" i="25"/>
  <c r="I385" i="25"/>
  <c r="J385" i="25"/>
  <c r="K385" i="25"/>
  <c r="M385" i="25"/>
  <c r="O385" i="25"/>
  <c r="P385" i="25"/>
  <c r="Q385" i="25"/>
  <c r="R385" i="25"/>
  <c r="S385" i="25"/>
  <c r="T385" i="25"/>
  <c r="U385" i="25"/>
  <c r="A22" i="25"/>
  <c r="B22" i="25"/>
  <c r="C22" i="25"/>
  <c r="D22" i="25"/>
  <c r="E22" i="25"/>
  <c r="F22" i="25"/>
  <c r="G22" i="25"/>
  <c r="H22" i="25"/>
  <c r="I22" i="25"/>
  <c r="J22" i="25"/>
  <c r="K22" i="25"/>
  <c r="M22" i="25"/>
  <c r="O22" i="25"/>
  <c r="P22" i="25"/>
  <c r="Q22" i="25"/>
  <c r="R22" i="25"/>
  <c r="S22" i="25"/>
  <c r="T22" i="25"/>
  <c r="U22" i="25"/>
  <c r="A23" i="25"/>
  <c r="B23" i="25"/>
  <c r="C23" i="25"/>
  <c r="D23" i="25"/>
  <c r="E23" i="25"/>
  <c r="F23" i="25"/>
  <c r="G23" i="25"/>
  <c r="H23" i="25"/>
  <c r="I23" i="25"/>
  <c r="J23" i="25"/>
  <c r="K23" i="25"/>
  <c r="M23" i="25"/>
  <c r="O23" i="25"/>
  <c r="P23" i="25"/>
  <c r="Q23" i="25"/>
  <c r="R23" i="25"/>
  <c r="S23" i="25"/>
  <c r="T23" i="25"/>
  <c r="U23" i="25"/>
  <c r="A24" i="25"/>
  <c r="B24" i="25"/>
  <c r="C24" i="25"/>
  <c r="D24" i="25"/>
  <c r="E24" i="25"/>
  <c r="F24" i="25"/>
  <c r="G24" i="25"/>
  <c r="H24" i="25"/>
  <c r="I24" i="25"/>
  <c r="J24" i="25"/>
  <c r="K24" i="25"/>
  <c r="M24" i="25"/>
  <c r="O24" i="25"/>
  <c r="P24" i="25"/>
  <c r="Q24" i="25"/>
  <c r="R24" i="25"/>
  <c r="S24" i="25"/>
  <c r="T24" i="25"/>
  <c r="U24" i="25"/>
  <c r="A27" i="25"/>
  <c r="B27" i="25"/>
  <c r="C27" i="25"/>
  <c r="D27" i="25"/>
  <c r="E27" i="25"/>
  <c r="F27" i="25"/>
  <c r="G27" i="25"/>
  <c r="H27" i="25"/>
  <c r="I27" i="25"/>
  <c r="J27" i="25"/>
  <c r="K27" i="25"/>
  <c r="M27" i="25"/>
  <c r="O27" i="25"/>
  <c r="P27" i="25"/>
  <c r="Q27" i="25"/>
  <c r="R27" i="25"/>
  <c r="S27" i="25"/>
  <c r="T27" i="25"/>
  <c r="U27" i="25"/>
  <c r="A37" i="25"/>
  <c r="B37" i="25"/>
  <c r="C37" i="25"/>
  <c r="D37" i="25"/>
  <c r="E37" i="25"/>
  <c r="F37" i="25"/>
  <c r="G37" i="25"/>
  <c r="H37" i="25"/>
  <c r="I37" i="25"/>
  <c r="J37" i="25"/>
  <c r="K37" i="25"/>
  <c r="M37" i="25"/>
  <c r="N37" i="25"/>
  <c r="O37" i="25"/>
  <c r="P37" i="25"/>
  <c r="Q37" i="25"/>
  <c r="R37" i="25"/>
  <c r="S37" i="25"/>
  <c r="T37" i="25"/>
  <c r="U37" i="25"/>
  <c r="A41" i="25"/>
  <c r="B41" i="25"/>
  <c r="C41" i="25"/>
  <c r="D41" i="25"/>
  <c r="E41" i="25"/>
  <c r="F41" i="25"/>
  <c r="G41" i="25"/>
  <c r="H41" i="25"/>
  <c r="I41" i="25"/>
  <c r="J41" i="25"/>
  <c r="K41" i="25"/>
  <c r="M41" i="25"/>
  <c r="O41" i="25"/>
  <c r="P41" i="25"/>
  <c r="Q41" i="25"/>
  <c r="R41" i="25"/>
  <c r="S41" i="25"/>
  <c r="T41" i="25"/>
  <c r="U41" i="25"/>
  <c r="A50" i="25"/>
  <c r="B50" i="25"/>
  <c r="C50" i="25"/>
  <c r="D50" i="25"/>
  <c r="E50" i="25"/>
  <c r="F50" i="25"/>
  <c r="G50" i="25"/>
  <c r="H50" i="25"/>
  <c r="I50" i="25"/>
  <c r="J50" i="25"/>
  <c r="K50" i="25"/>
  <c r="M50" i="25"/>
  <c r="O50" i="25"/>
  <c r="P50" i="25"/>
  <c r="Q50" i="25"/>
  <c r="R50" i="25"/>
  <c r="S50" i="25"/>
  <c r="T50" i="25"/>
  <c r="U50" i="25"/>
  <c r="A54" i="25"/>
  <c r="B54" i="25"/>
  <c r="C54" i="25"/>
  <c r="D54" i="25"/>
  <c r="E54" i="25"/>
  <c r="F54" i="25"/>
  <c r="G54" i="25"/>
  <c r="H54" i="25"/>
  <c r="I54" i="25"/>
  <c r="J54" i="25"/>
  <c r="K54" i="25"/>
  <c r="M54" i="25"/>
  <c r="N54" i="25"/>
  <c r="O54" i="25"/>
  <c r="P54" i="25"/>
  <c r="Q54" i="25"/>
  <c r="R54" i="25"/>
  <c r="S54" i="25"/>
  <c r="T54" i="25"/>
  <c r="U54" i="25"/>
  <c r="A55" i="25"/>
  <c r="B55" i="25"/>
  <c r="C55" i="25"/>
  <c r="D55" i="25"/>
  <c r="E55" i="25"/>
  <c r="F55" i="25"/>
  <c r="G55" i="25"/>
  <c r="H55" i="25"/>
  <c r="I55" i="25"/>
  <c r="J55" i="25"/>
  <c r="K55" i="25"/>
  <c r="M55" i="25"/>
  <c r="O55" i="25"/>
  <c r="P55" i="25"/>
  <c r="Q55" i="25"/>
  <c r="R55" i="25"/>
  <c r="S55" i="25"/>
  <c r="T55" i="25"/>
  <c r="U55" i="25"/>
  <c r="A88" i="25"/>
  <c r="B88" i="25"/>
  <c r="C88" i="25"/>
  <c r="D88" i="25"/>
  <c r="E88" i="25"/>
  <c r="F88" i="25"/>
  <c r="G88" i="25"/>
  <c r="H88" i="25"/>
  <c r="I88" i="25"/>
  <c r="J88" i="25"/>
  <c r="K88" i="25"/>
  <c r="M88" i="25"/>
  <c r="O88" i="25"/>
  <c r="P88" i="25"/>
  <c r="Q88" i="25"/>
  <c r="R88" i="25"/>
  <c r="S88" i="25"/>
  <c r="T88" i="25"/>
  <c r="U88" i="25"/>
  <c r="A89" i="25"/>
  <c r="B89" i="25"/>
  <c r="C89" i="25"/>
  <c r="D89" i="25"/>
  <c r="E89" i="25"/>
  <c r="F89" i="25"/>
  <c r="G89" i="25"/>
  <c r="H89" i="25"/>
  <c r="I89" i="25"/>
  <c r="J89" i="25"/>
  <c r="K89" i="25"/>
  <c r="M89" i="25"/>
  <c r="O89" i="25"/>
  <c r="P89" i="25"/>
  <c r="Q89" i="25"/>
  <c r="R89" i="25"/>
  <c r="S89" i="25"/>
  <c r="T89" i="25"/>
  <c r="U89" i="25"/>
  <c r="A58" i="25"/>
  <c r="B58" i="25"/>
  <c r="C58" i="25"/>
  <c r="D58" i="25"/>
  <c r="E58" i="25"/>
  <c r="F58" i="25"/>
  <c r="G58" i="25"/>
  <c r="H58" i="25"/>
  <c r="I58" i="25"/>
  <c r="J58" i="25"/>
  <c r="K58" i="25"/>
  <c r="M58" i="25"/>
  <c r="O58" i="25"/>
  <c r="P58" i="25"/>
  <c r="Q58" i="25"/>
  <c r="R58" i="25"/>
  <c r="S58" i="25"/>
  <c r="T58" i="25"/>
  <c r="U58" i="25"/>
  <c r="A62" i="25"/>
  <c r="B62" i="25"/>
  <c r="C62" i="25"/>
  <c r="D62" i="25"/>
  <c r="E62" i="25"/>
  <c r="F62" i="25"/>
  <c r="G62" i="25"/>
  <c r="H62" i="25"/>
  <c r="I62" i="25"/>
  <c r="J62" i="25"/>
  <c r="K62" i="25"/>
  <c r="L62" i="25"/>
  <c r="M62" i="25"/>
  <c r="N62" i="25"/>
  <c r="O62" i="25"/>
  <c r="P62" i="25"/>
  <c r="Q62" i="25"/>
  <c r="R62" i="25"/>
  <c r="S62" i="25"/>
  <c r="T62" i="25"/>
  <c r="U62" i="25"/>
  <c r="A70" i="25"/>
  <c r="B70" i="25"/>
  <c r="C70" i="25"/>
  <c r="D70" i="25"/>
  <c r="E70" i="25"/>
  <c r="F70" i="25"/>
  <c r="G70" i="25"/>
  <c r="H70" i="25"/>
  <c r="I70" i="25"/>
  <c r="J70" i="25"/>
  <c r="K70" i="25"/>
  <c r="M70" i="25"/>
  <c r="O70" i="25"/>
  <c r="P70" i="25"/>
  <c r="Q70" i="25"/>
  <c r="R70" i="25"/>
  <c r="S70" i="25"/>
  <c r="T70" i="25"/>
  <c r="U70" i="25"/>
  <c r="A74" i="25"/>
  <c r="B74" i="25"/>
  <c r="C74" i="25"/>
  <c r="D74" i="25"/>
  <c r="E74" i="25"/>
  <c r="F74" i="25"/>
  <c r="G74" i="25"/>
  <c r="H74" i="25"/>
  <c r="I74" i="25"/>
  <c r="J74" i="25"/>
  <c r="K74" i="25"/>
  <c r="M74" i="25"/>
  <c r="O74" i="25"/>
  <c r="P74" i="25"/>
  <c r="Q74" i="25"/>
  <c r="R74" i="25"/>
  <c r="S74" i="25"/>
  <c r="T74" i="25"/>
  <c r="U74" i="25"/>
  <c r="A78" i="25"/>
  <c r="B78" i="25"/>
  <c r="C78" i="25"/>
  <c r="D78" i="25"/>
  <c r="E78" i="25"/>
  <c r="F78" i="25"/>
  <c r="G78" i="25"/>
  <c r="H78" i="25"/>
  <c r="I78" i="25"/>
  <c r="J78" i="25"/>
  <c r="K78" i="25"/>
  <c r="M78" i="25"/>
  <c r="O78" i="25"/>
  <c r="P78" i="25"/>
  <c r="Q78" i="25"/>
  <c r="R78" i="25"/>
  <c r="S78" i="25"/>
  <c r="T78" i="25"/>
  <c r="U78" i="25"/>
  <c r="A129" i="25"/>
  <c r="B129" i="25"/>
  <c r="C129" i="25"/>
  <c r="D129" i="25"/>
  <c r="E129" i="25"/>
  <c r="F129" i="25"/>
  <c r="G129" i="25"/>
  <c r="H129" i="25"/>
  <c r="I129" i="25"/>
  <c r="J129" i="25"/>
  <c r="K129" i="25"/>
  <c r="M129" i="25"/>
  <c r="O129" i="25"/>
  <c r="P129" i="25"/>
  <c r="Q129" i="25"/>
  <c r="R129" i="25"/>
  <c r="S129" i="25"/>
  <c r="T129" i="25"/>
  <c r="U129" i="25"/>
  <c r="A138" i="25"/>
  <c r="B138" i="25"/>
  <c r="C138" i="25"/>
  <c r="D138" i="25"/>
  <c r="F138" i="25"/>
  <c r="G138" i="25"/>
  <c r="H138" i="25"/>
  <c r="I138" i="25"/>
  <c r="J138" i="25"/>
  <c r="K138" i="25"/>
  <c r="M138" i="25"/>
  <c r="O138" i="25"/>
  <c r="P138" i="25"/>
  <c r="Q138" i="25"/>
  <c r="R138" i="25"/>
  <c r="S138" i="25"/>
  <c r="T138" i="25"/>
  <c r="U138" i="25"/>
  <c r="A147" i="25"/>
  <c r="B147" i="25"/>
  <c r="C147" i="25"/>
  <c r="D147" i="25"/>
  <c r="E147" i="25"/>
  <c r="F147" i="25"/>
  <c r="G147" i="25"/>
  <c r="H147" i="25"/>
  <c r="I147" i="25"/>
  <c r="J147" i="25"/>
  <c r="K147" i="25"/>
  <c r="M147" i="25"/>
  <c r="O147" i="25"/>
  <c r="P147" i="25"/>
  <c r="Q147" i="25"/>
  <c r="R147" i="25"/>
  <c r="S147" i="25"/>
  <c r="T147" i="25"/>
  <c r="U147" i="25"/>
  <c r="A170" i="25"/>
  <c r="B170" i="25"/>
  <c r="C170" i="25"/>
  <c r="D170" i="25"/>
  <c r="E170" i="25"/>
  <c r="F170" i="25"/>
  <c r="G170" i="25"/>
  <c r="H170" i="25"/>
  <c r="I170" i="25"/>
  <c r="J170" i="25"/>
  <c r="K170" i="25"/>
  <c r="M170" i="25"/>
  <c r="O170" i="25"/>
  <c r="P170" i="25"/>
  <c r="Q170" i="25"/>
  <c r="R170" i="25"/>
  <c r="S170" i="25"/>
  <c r="T170" i="25"/>
  <c r="U170" i="25"/>
  <c r="A182" i="25"/>
  <c r="B182" i="25"/>
  <c r="C182" i="25"/>
  <c r="D182" i="25"/>
  <c r="E182" i="25"/>
  <c r="F182" i="25"/>
  <c r="G182" i="25"/>
  <c r="H182" i="25"/>
  <c r="I182" i="25"/>
  <c r="J182" i="25"/>
  <c r="K182" i="25"/>
  <c r="M182" i="25"/>
  <c r="N182" i="25"/>
  <c r="O182" i="25"/>
  <c r="P182" i="25"/>
  <c r="Q182" i="25"/>
  <c r="R182" i="25"/>
  <c r="S182" i="25"/>
  <c r="T182" i="25"/>
  <c r="U182" i="25"/>
  <c r="A239" i="25"/>
  <c r="B239" i="25"/>
  <c r="C239" i="25"/>
  <c r="D239" i="25"/>
  <c r="F239" i="25"/>
  <c r="G239" i="25"/>
  <c r="H239" i="25"/>
  <c r="I239" i="25"/>
  <c r="J239" i="25"/>
  <c r="K239" i="25"/>
  <c r="M239" i="25"/>
  <c r="O239" i="25"/>
  <c r="P239" i="25"/>
  <c r="Q239" i="25"/>
  <c r="R239" i="25"/>
  <c r="S239" i="25"/>
  <c r="T239" i="25"/>
  <c r="U239" i="25"/>
  <c r="A245" i="25"/>
  <c r="B245" i="25"/>
  <c r="C245" i="25"/>
  <c r="D245" i="25"/>
  <c r="E245" i="25"/>
  <c r="F245" i="25"/>
  <c r="G245" i="25"/>
  <c r="H245" i="25"/>
  <c r="I245" i="25"/>
  <c r="J245" i="25"/>
  <c r="K245" i="25"/>
  <c r="M245" i="25"/>
  <c r="O245" i="25"/>
  <c r="P245" i="25"/>
  <c r="Q245" i="25"/>
  <c r="R245" i="25"/>
  <c r="S245" i="25"/>
  <c r="T245" i="25"/>
  <c r="U245" i="25"/>
  <c r="A260" i="25"/>
  <c r="B260" i="25"/>
  <c r="C260" i="25"/>
  <c r="D260" i="25"/>
  <c r="E260" i="25"/>
  <c r="F260" i="25"/>
  <c r="G260" i="25"/>
  <c r="H260" i="25"/>
  <c r="I260" i="25"/>
  <c r="J260" i="25"/>
  <c r="K260" i="25"/>
  <c r="M260" i="25"/>
  <c r="O260" i="25"/>
  <c r="Q260" i="25"/>
  <c r="R260" i="25"/>
  <c r="S260" i="25"/>
  <c r="T260" i="25"/>
  <c r="U260" i="25"/>
  <c r="A302" i="25"/>
  <c r="B302" i="25"/>
  <c r="C302" i="25"/>
  <c r="D302" i="25"/>
  <c r="F302" i="25"/>
  <c r="G302" i="25"/>
  <c r="H302" i="25"/>
  <c r="I302" i="25"/>
  <c r="J302" i="25"/>
  <c r="K302" i="25"/>
  <c r="M302" i="25"/>
  <c r="O302" i="25"/>
  <c r="P302" i="25"/>
  <c r="Q302" i="25"/>
  <c r="R302" i="25"/>
  <c r="S302" i="25"/>
  <c r="T302" i="25"/>
  <c r="U302" i="25"/>
  <c r="A310" i="25"/>
  <c r="B310" i="25"/>
  <c r="C310" i="25"/>
  <c r="D310" i="25"/>
  <c r="E310" i="25"/>
  <c r="F310" i="25"/>
  <c r="G310" i="25"/>
  <c r="H310" i="25"/>
  <c r="I310" i="25"/>
  <c r="J310" i="25"/>
  <c r="K310" i="25"/>
  <c r="M310" i="25"/>
  <c r="O310" i="25"/>
  <c r="P310" i="25"/>
  <c r="Q310" i="25"/>
  <c r="R310" i="25"/>
  <c r="S310" i="25"/>
  <c r="T310" i="25"/>
  <c r="U310" i="25"/>
  <c r="A334" i="25"/>
  <c r="B334" i="25"/>
  <c r="C334" i="25"/>
  <c r="D334" i="25"/>
  <c r="E334" i="25"/>
  <c r="F334" i="25"/>
  <c r="G334" i="25"/>
  <c r="H334" i="25"/>
  <c r="I334" i="25"/>
  <c r="J334" i="25"/>
  <c r="K334" i="25"/>
  <c r="M334" i="25"/>
  <c r="O334" i="25"/>
  <c r="P334" i="25"/>
  <c r="Q334" i="25"/>
  <c r="R334" i="25"/>
  <c r="S334" i="25"/>
  <c r="T334" i="25"/>
  <c r="U334" i="25"/>
  <c r="A338" i="25"/>
  <c r="B338" i="25"/>
  <c r="C338" i="25"/>
  <c r="D338" i="25"/>
  <c r="E338" i="25"/>
  <c r="F338" i="25"/>
  <c r="G338" i="25"/>
  <c r="H338" i="25"/>
  <c r="I338" i="25"/>
  <c r="J338" i="25"/>
  <c r="K338" i="25"/>
  <c r="M338" i="25"/>
  <c r="O338" i="25"/>
  <c r="P338" i="25"/>
  <c r="Q338" i="25"/>
  <c r="R338" i="25"/>
  <c r="S338" i="25"/>
  <c r="T338" i="25"/>
  <c r="U338" i="25"/>
  <c r="A365" i="25"/>
  <c r="B365" i="25"/>
  <c r="C365" i="25"/>
  <c r="D365" i="25"/>
  <c r="E365" i="25"/>
  <c r="F365" i="25"/>
  <c r="G365" i="25"/>
  <c r="H365" i="25"/>
  <c r="I365" i="25"/>
  <c r="J365" i="25"/>
  <c r="K365" i="25"/>
  <c r="M365" i="25"/>
  <c r="O365" i="25"/>
  <c r="P365" i="25"/>
  <c r="Q365" i="25"/>
  <c r="R365" i="25"/>
  <c r="S365" i="25"/>
  <c r="T365" i="25"/>
  <c r="U365" i="25"/>
  <c r="A20" i="25"/>
  <c r="B20" i="25"/>
  <c r="C20" i="25"/>
  <c r="D20" i="25"/>
  <c r="E20" i="25"/>
  <c r="F20" i="25"/>
  <c r="G20" i="25"/>
  <c r="H20" i="25"/>
  <c r="I20" i="25"/>
  <c r="J20" i="25"/>
  <c r="K20" i="25"/>
  <c r="L20" i="25"/>
  <c r="M20" i="25"/>
  <c r="O20" i="25"/>
  <c r="P20" i="25"/>
  <c r="Q20" i="25"/>
  <c r="R20" i="25"/>
  <c r="S20" i="25"/>
  <c r="T20" i="25"/>
  <c r="U20" i="25"/>
  <c r="A21" i="25"/>
  <c r="B21" i="25"/>
  <c r="C21" i="25"/>
  <c r="D21" i="25"/>
  <c r="E21" i="25"/>
  <c r="F21" i="25"/>
  <c r="G21" i="25"/>
  <c r="H21" i="25"/>
  <c r="I21" i="25"/>
  <c r="J21" i="25"/>
  <c r="K21" i="25"/>
  <c r="M21" i="25"/>
  <c r="N21" i="25"/>
  <c r="O21" i="25"/>
  <c r="P21" i="25"/>
  <c r="Q21" i="25"/>
  <c r="R21" i="25"/>
  <c r="S21" i="25"/>
  <c r="T21" i="25"/>
  <c r="U21" i="25"/>
  <c r="A35" i="25"/>
  <c r="B35" i="25"/>
  <c r="C35" i="25"/>
  <c r="D35" i="25"/>
  <c r="E35" i="25"/>
  <c r="F35" i="25"/>
  <c r="G35" i="25"/>
  <c r="H35" i="25"/>
  <c r="I35" i="25"/>
  <c r="J35" i="25"/>
  <c r="K35" i="25"/>
  <c r="M35" i="25"/>
  <c r="O35" i="25"/>
  <c r="P35" i="25"/>
  <c r="Q35" i="25"/>
  <c r="R35" i="25"/>
  <c r="S35" i="25"/>
  <c r="T35" i="25"/>
  <c r="U35" i="25"/>
  <c r="A36" i="25"/>
  <c r="B36" i="25"/>
  <c r="C36" i="25"/>
  <c r="D36" i="25"/>
  <c r="E36" i="25"/>
  <c r="F36" i="25"/>
  <c r="G36" i="25"/>
  <c r="H36" i="25"/>
  <c r="I36" i="25"/>
  <c r="J36" i="25"/>
  <c r="K36" i="25"/>
  <c r="M36" i="25"/>
  <c r="O36" i="25"/>
  <c r="P36" i="25"/>
  <c r="Q36" i="25"/>
  <c r="R36" i="25"/>
  <c r="S36" i="25"/>
  <c r="T36" i="25"/>
  <c r="U36" i="25"/>
  <c r="A275" i="25"/>
  <c r="B275" i="25"/>
  <c r="C275" i="25"/>
  <c r="D275" i="25"/>
  <c r="E275" i="25"/>
  <c r="F275" i="25"/>
  <c r="G275" i="25"/>
  <c r="H275" i="25"/>
  <c r="I275" i="25"/>
  <c r="J275" i="25"/>
  <c r="K275" i="25"/>
  <c r="L275" i="25"/>
  <c r="M275" i="25"/>
  <c r="O275" i="25"/>
  <c r="P275" i="25"/>
  <c r="Q275" i="25"/>
  <c r="R275" i="25"/>
  <c r="S275" i="25"/>
  <c r="T275" i="25"/>
  <c r="U275" i="25"/>
  <c r="A277" i="25"/>
  <c r="B277" i="25"/>
  <c r="C277" i="25"/>
  <c r="D277" i="25"/>
  <c r="F277" i="25"/>
  <c r="G277" i="25"/>
  <c r="H277" i="25"/>
  <c r="I277" i="25"/>
  <c r="J277" i="25"/>
  <c r="K277" i="25"/>
  <c r="M277" i="25"/>
  <c r="O277" i="25"/>
  <c r="P277" i="25"/>
  <c r="Q277" i="25"/>
  <c r="R277" i="25"/>
  <c r="S277" i="25"/>
  <c r="T277" i="25"/>
  <c r="U277" i="25"/>
  <c r="A278" i="25"/>
  <c r="B278" i="25"/>
  <c r="C278" i="25"/>
  <c r="D278" i="25"/>
  <c r="F278" i="25"/>
  <c r="G278" i="25"/>
  <c r="H278" i="25"/>
  <c r="I278" i="25"/>
  <c r="J278" i="25"/>
  <c r="K278" i="25"/>
  <c r="M278" i="25"/>
  <c r="N278" i="25"/>
  <c r="O278" i="25"/>
  <c r="P278" i="25"/>
  <c r="Q278" i="25"/>
  <c r="R278" i="25"/>
  <c r="S278" i="25"/>
  <c r="T278" i="25"/>
  <c r="U278" i="25"/>
  <c r="A291" i="25"/>
  <c r="B291" i="25"/>
  <c r="C291" i="25"/>
  <c r="D291" i="25"/>
  <c r="E291" i="25"/>
  <c r="F291" i="25"/>
  <c r="G291" i="25"/>
  <c r="H291" i="25"/>
  <c r="I291" i="25"/>
  <c r="J291" i="25"/>
  <c r="K291" i="25"/>
  <c r="M291" i="25"/>
  <c r="N291" i="25"/>
  <c r="O291" i="25"/>
  <c r="P291" i="25"/>
  <c r="Q291" i="25"/>
  <c r="R291" i="25"/>
  <c r="S291" i="25"/>
  <c r="T291" i="25"/>
  <c r="U291" i="25"/>
  <c r="A326" i="25"/>
  <c r="B326" i="25"/>
  <c r="C326" i="25"/>
  <c r="D326" i="25"/>
  <c r="E326" i="25"/>
  <c r="F326" i="25"/>
  <c r="G326" i="25"/>
  <c r="H326" i="25"/>
  <c r="I326" i="25"/>
  <c r="J326" i="25"/>
  <c r="K326" i="25"/>
  <c r="M326" i="25"/>
  <c r="O326" i="25"/>
  <c r="P326" i="25"/>
  <c r="Q326" i="25"/>
  <c r="R326" i="25"/>
  <c r="S326" i="25"/>
  <c r="T326" i="25"/>
  <c r="U326" i="25"/>
  <c r="A343" i="25"/>
  <c r="B343" i="25"/>
  <c r="C343" i="25"/>
  <c r="D343" i="25"/>
  <c r="E343" i="25"/>
  <c r="F343" i="25"/>
  <c r="G343" i="25"/>
  <c r="H343" i="25"/>
  <c r="I343" i="25"/>
  <c r="J343" i="25"/>
  <c r="K343" i="25"/>
  <c r="M343" i="25"/>
  <c r="O343" i="25"/>
  <c r="P343" i="25"/>
  <c r="Q343" i="25"/>
  <c r="R343" i="25"/>
  <c r="S343" i="25"/>
  <c r="T343" i="25"/>
  <c r="U343" i="25"/>
  <c r="A354" i="25"/>
  <c r="B354" i="25"/>
  <c r="C354" i="25"/>
  <c r="D354" i="25"/>
  <c r="E354" i="25"/>
  <c r="F354" i="25"/>
  <c r="G354" i="25"/>
  <c r="H354" i="25"/>
  <c r="I354" i="25"/>
  <c r="J354" i="25"/>
  <c r="K354" i="25"/>
  <c r="L354" i="25"/>
  <c r="M354" i="25"/>
  <c r="O354" i="25"/>
  <c r="P354" i="25"/>
  <c r="Q354" i="25"/>
  <c r="R354" i="25"/>
  <c r="S354" i="25"/>
  <c r="T354" i="25"/>
  <c r="U354" i="25"/>
  <c r="A371" i="25"/>
  <c r="B371" i="25"/>
  <c r="C371" i="25"/>
  <c r="D371" i="25"/>
  <c r="E371" i="25"/>
  <c r="F371" i="25"/>
  <c r="G371" i="25"/>
  <c r="H371" i="25"/>
  <c r="I371" i="25"/>
  <c r="J371" i="25"/>
  <c r="K371" i="25"/>
  <c r="M371" i="25"/>
  <c r="O371" i="25"/>
  <c r="P371" i="25"/>
  <c r="Q371" i="25"/>
  <c r="R371" i="25"/>
  <c r="S371" i="25"/>
  <c r="T371" i="25"/>
  <c r="U371" i="25"/>
  <c r="A373" i="25"/>
  <c r="B373" i="25"/>
  <c r="C373" i="25"/>
  <c r="D373" i="25"/>
  <c r="E373" i="25"/>
  <c r="F373" i="25"/>
  <c r="G373" i="25"/>
  <c r="H373" i="25"/>
  <c r="I373" i="25"/>
  <c r="J373" i="25"/>
  <c r="K373" i="25"/>
  <c r="L373" i="25"/>
  <c r="M373" i="25"/>
  <c r="O373" i="25"/>
  <c r="P373" i="25"/>
  <c r="Q373" i="25"/>
  <c r="R373" i="25"/>
  <c r="S373" i="25"/>
  <c r="T373" i="25"/>
  <c r="U373" i="25"/>
  <c r="A382" i="25"/>
  <c r="B382" i="25"/>
  <c r="C382" i="25"/>
  <c r="D382" i="25"/>
  <c r="E382" i="25"/>
  <c r="F382" i="25"/>
  <c r="G382" i="25"/>
  <c r="H382" i="25"/>
  <c r="I382" i="25"/>
  <c r="J382" i="25"/>
  <c r="K382" i="25"/>
  <c r="M382" i="25"/>
  <c r="O382" i="25"/>
  <c r="P382" i="25"/>
  <c r="Q382" i="25"/>
  <c r="R382" i="25"/>
  <c r="S382" i="25"/>
  <c r="T382" i="25"/>
  <c r="U382" i="25"/>
  <c r="A394" i="25"/>
  <c r="B394" i="25"/>
  <c r="C394" i="25"/>
  <c r="D394" i="25"/>
  <c r="E394" i="25"/>
  <c r="F394" i="25"/>
  <c r="G394" i="25"/>
  <c r="H394" i="25"/>
  <c r="I394" i="25"/>
  <c r="J394" i="25"/>
  <c r="K394" i="25"/>
  <c r="M394" i="25"/>
  <c r="O394" i="25"/>
  <c r="P394" i="25"/>
  <c r="Q394" i="25"/>
  <c r="R394" i="25"/>
  <c r="S394" i="25"/>
  <c r="T394" i="25"/>
  <c r="U394" i="25"/>
  <c r="A396" i="25"/>
  <c r="B396" i="25"/>
  <c r="C396" i="25"/>
  <c r="D396" i="25"/>
  <c r="E396" i="25"/>
  <c r="F396" i="25"/>
  <c r="G396" i="25"/>
  <c r="H396" i="25"/>
  <c r="I396" i="25"/>
  <c r="J396" i="25"/>
  <c r="K396" i="25"/>
  <c r="L396" i="25"/>
  <c r="M396" i="25"/>
  <c r="O396" i="25"/>
  <c r="P396" i="25"/>
  <c r="Q396" i="25"/>
  <c r="R396" i="25"/>
  <c r="S396" i="25"/>
  <c r="T396" i="25"/>
  <c r="U396" i="25"/>
  <c r="A400" i="25"/>
  <c r="B400" i="25"/>
  <c r="C400" i="25"/>
  <c r="D400" i="25"/>
  <c r="E400" i="25"/>
  <c r="F400" i="25"/>
  <c r="G400" i="25"/>
  <c r="H400" i="25"/>
  <c r="I400" i="25"/>
  <c r="J400" i="25"/>
  <c r="K400" i="25"/>
  <c r="L400" i="25"/>
  <c r="M400" i="25"/>
  <c r="O400" i="25"/>
  <c r="P400" i="25"/>
  <c r="Q400" i="25"/>
  <c r="R400" i="25"/>
  <c r="S400" i="25"/>
  <c r="T400" i="25"/>
  <c r="U400" i="25"/>
  <c r="A40" i="25"/>
  <c r="B40" i="25"/>
  <c r="C40" i="25"/>
  <c r="D40" i="25"/>
  <c r="E40" i="25"/>
  <c r="F40" i="25"/>
  <c r="G40" i="25"/>
  <c r="H40" i="25"/>
  <c r="I40" i="25"/>
  <c r="J40" i="25"/>
  <c r="K40" i="25"/>
  <c r="M40" i="25"/>
  <c r="O40" i="25"/>
  <c r="P40" i="25"/>
  <c r="Q40" i="25"/>
  <c r="R40" i="25"/>
  <c r="S40" i="25"/>
  <c r="T40" i="25"/>
  <c r="U40" i="25"/>
  <c r="A309" i="25"/>
  <c r="B309" i="25"/>
  <c r="C309" i="25"/>
  <c r="D309" i="25"/>
  <c r="E309" i="25"/>
  <c r="F309" i="25"/>
  <c r="G309" i="25"/>
  <c r="H309" i="25"/>
  <c r="I309" i="25"/>
  <c r="J309" i="25"/>
  <c r="K309" i="25"/>
  <c r="M309" i="25"/>
  <c r="O309" i="25"/>
  <c r="P309" i="25"/>
  <c r="Q309" i="25"/>
  <c r="R309" i="25"/>
  <c r="S309" i="25"/>
  <c r="T309" i="25"/>
  <c r="U309" i="25"/>
  <c r="A315" i="25"/>
  <c r="B315" i="25"/>
  <c r="C315" i="25"/>
  <c r="D315" i="25"/>
  <c r="E315" i="25"/>
  <c r="F315" i="25"/>
  <c r="G315" i="25"/>
  <c r="H315" i="25"/>
  <c r="I315" i="25"/>
  <c r="J315" i="25"/>
  <c r="K315" i="25"/>
  <c r="M315" i="25"/>
  <c r="O315" i="25"/>
  <c r="P315" i="25"/>
  <c r="Q315" i="25"/>
  <c r="R315" i="25"/>
  <c r="S315" i="25"/>
  <c r="T315" i="25"/>
  <c r="U315" i="25"/>
  <c r="A316" i="25"/>
  <c r="B316" i="25"/>
  <c r="C316" i="25"/>
  <c r="D316" i="25"/>
  <c r="E316" i="25"/>
  <c r="F316" i="25"/>
  <c r="G316" i="25"/>
  <c r="H316" i="25"/>
  <c r="I316" i="25"/>
  <c r="J316" i="25"/>
  <c r="K316" i="25"/>
  <c r="M316" i="25"/>
  <c r="O316" i="25"/>
  <c r="P316" i="25"/>
  <c r="Q316" i="25"/>
  <c r="R316" i="25"/>
  <c r="S316" i="25"/>
  <c r="T316" i="25"/>
  <c r="U316" i="25"/>
  <c r="A317" i="25"/>
  <c r="B317" i="25"/>
  <c r="C317" i="25"/>
  <c r="D317" i="25"/>
  <c r="E317" i="25"/>
  <c r="F317" i="25"/>
  <c r="G317" i="25"/>
  <c r="H317" i="25"/>
  <c r="I317" i="25"/>
  <c r="J317" i="25"/>
  <c r="K317" i="25"/>
  <c r="M317" i="25"/>
  <c r="O317" i="25"/>
  <c r="P317" i="25"/>
  <c r="Q317" i="25"/>
  <c r="R317" i="25"/>
  <c r="S317" i="25"/>
  <c r="T317" i="25"/>
  <c r="U317" i="25"/>
  <c r="A322" i="25"/>
  <c r="B322" i="25"/>
  <c r="C322" i="25"/>
  <c r="D322" i="25"/>
  <c r="E322" i="25"/>
  <c r="F322" i="25"/>
  <c r="G322" i="25"/>
  <c r="H322" i="25"/>
  <c r="I322" i="25"/>
  <c r="J322" i="25"/>
  <c r="K322" i="25"/>
  <c r="M322" i="25"/>
  <c r="O322" i="25"/>
  <c r="P322" i="25"/>
  <c r="Q322" i="25"/>
  <c r="R322" i="25"/>
  <c r="S322" i="25"/>
  <c r="T322" i="25"/>
  <c r="U322" i="25"/>
  <c r="A339" i="25"/>
  <c r="B339" i="25"/>
  <c r="C339" i="25"/>
  <c r="D339" i="25"/>
  <c r="E339" i="25"/>
  <c r="F339" i="25"/>
  <c r="G339" i="25"/>
  <c r="H339" i="25"/>
  <c r="I339" i="25"/>
  <c r="J339" i="25"/>
  <c r="K339" i="25"/>
  <c r="L339" i="25"/>
  <c r="M339" i="25"/>
  <c r="O339" i="25"/>
  <c r="Q339" i="25"/>
  <c r="R339" i="25"/>
  <c r="S339" i="25"/>
  <c r="T339" i="25"/>
  <c r="U339" i="25"/>
  <c r="A341" i="25"/>
  <c r="B341" i="25"/>
  <c r="C341" i="25"/>
  <c r="D341" i="25"/>
  <c r="E341" i="25"/>
  <c r="F341" i="25"/>
  <c r="G341" i="25"/>
  <c r="H341" i="25"/>
  <c r="I341" i="25"/>
  <c r="J341" i="25"/>
  <c r="K341" i="25"/>
  <c r="L341" i="25"/>
  <c r="M341" i="25"/>
  <c r="O341" i="25"/>
  <c r="P341" i="25"/>
  <c r="Q341" i="25"/>
  <c r="R341" i="25"/>
  <c r="S341" i="25"/>
  <c r="T341" i="25"/>
  <c r="U341" i="25"/>
  <c r="A342" i="25"/>
  <c r="B342" i="25"/>
  <c r="C342" i="25"/>
  <c r="D342" i="25"/>
  <c r="E342" i="25"/>
  <c r="F342" i="25"/>
  <c r="G342" i="25"/>
  <c r="H342" i="25"/>
  <c r="I342" i="25"/>
  <c r="J342" i="25"/>
  <c r="K342" i="25"/>
  <c r="M342" i="25"/>
  <c r="O342" i="25"/>
  <c r="P342" i="25"/>
  <c r="Q342" i="25"/>
  <c r="R342" i="25"/>
  <c r="S342" i="25"/>
  <c r="T342" i="25"/>
  <c r="U342" i="25"/>
  <c r="A6" i="25"/>
  <c r="B6" i="25"/>
  <c r="C6" i="25"/>
  <c r="D6" i="25"/>
  <c r="E6" i="25"/>
  <c r="F6" i="25"/>
  <c r="G6" i="25"/>
  <c r="H6" i="25"/>
  <c r="I6" i="25"/>
  <c r="J6" i="25"/>
  <c r="K6" i="25"/>
  <c r="M6" i="25"/>
  <c r="O6" i="25"/>
  <c r="P6" i="25"/>
  <c r="Q6" i="25"/>
  <c r="R6" i="25"/>
  <c r="S6" i="25"/>
  <c r="T6" i="25"/>
  <c r="U6" i="25"/>
  <c r="A7" i="25"/>
  <c r="B7" i="25"/>
  <c r="C7" i="25"/>
  <c r="D7" i="25"/>
  <c r="E7" i="25"/>
  <c r="F7" i="25"/>
  <c r="G7" i="25"/>
  <c r="H7" i="25"/>
  <c r="I7" i="25"/>
  <c r="J7" i="25"/>
  <c r="K7" i="25"/>
  <c r="M7" i="25"/>
  <c r="O7" i="25"/>
  <c r="P7" i="25"/>
  <c r="Q7" i="25"/>
  <c r="R7" i="25"/>
  <c r="S7" i="25"/>
  <c r="T7" i="25"/>
  <c r="U7" i="25"/>
  <c r="A8" i="25"/>
  <c r="B8" i="25"/>
  <c r="C8" i="25"/>
  <c r="D8" i="25"/>
  <c r="E8" i="25"/>
  <c r="F8" i="25"/>
  <c r="G8" i="25"/>
  <c r="H8" i="25"/>
  <c r="I8" i="25"/>
  <c r="J8" i="25"/>
  <c r="K8" i="25"/>
  <c r="M8" i="25"/>
  <c r="N8" i="25"/>
  <c r="O8" i="25"/>
  <c r="P8" i="25"/>
  <c r="Q8" i="25"/>
  <c r="R8" i="25"/>
  <c r="S8" i="25"/>
  <c r="T8" i="25"/>
  <c r="U8" i="25"/>
  <c r="A19" i="25"/>
  <c r="B19" i="25"/>
  <c r="C19" i="25"/>
  <c r="D19" i="25"/>
  <c r="E19" i="25"/>
  <c r="F19" i="25"/>
  <c r="G19" i="25"/>
  <c r="H19" i="25"/>
  <c r="I19" i="25"/>
  <c r="J19" i="25"/>
  <c r="K19" i="25"/>
  <c r="M19" i="25"/>
  <c r="O19" i="25"/>
  <c r="P19" i="25"/>
  <c r="Q19" i="25"/>
  <c r="R19" i="25"/>
  <c r="S19" i="25"/>
  <c r="T19" i="25"/>
  <c r="U19" i="25"/>
  <c r="A39" i="25"/>
  <c r="B39" i="25"/>
  <c r="C39" i="25"/>
  <c r="D39" i="25"/>
  <c r="E39" i="25"/>
  <c r="F39" i="25"/>
  <c r="G39" i="25"/>
  <c r="H39" i="25"/>
  <c r="I39" i="25"/>
  <c r="J39" i="25"/>
  <c r="K39" i="25"/>
  <c r="M39" i="25"/>
  <c r="O39" i="25"/>
  <c r="P39" i="25"/>
  <c r="Q39" i="25"/>
  <c r="R39" i="25"/>
  <c r="S39" i="25"/>
  <c r="T39" i="25"/>
  <c r="U39" i="25"/>
  <c r="A49" i="25"/>
  <c r="B49" i="25"/>
  <c r="C49" i="25"/>
  <c r="D49" i="25"/>
  <c r="E49" i="25"/>
  <c r="F49" i="25"/>
  <c r="G49" i="25"/>
  <c r="H49" i="25"/>
  <c r="I49" i="25"/>
  <c r="J49" i="25"/>
  <c r="K49" i="25"/>
  <c r="L49" i="25"/>
  <c r="M49" i="25"/>
  <c r="O49" i="25"/>
  <c r="P49" i="25"/>
  <c r="Q49" i="25"/>
  <c r="R49" i="25"/>
  <c r="S49" i="25"/>
  <c r="T49" i="25"/>
  <c r="U49" i="25"/>
  <c r="A52" i="25"/>
  <c r="B52" i="25"/>
  <c r="C52" i="25"/>
  <c r="D52" i="25"/>
  <c r="E52" i="25"/>
  <c r="F52" i="25"/>
  <c r="G52" i="25"/>
  <c r="H52" i="25"/>
  <c r="I52" i="25"/>
  <c r="J52" i="25"/>
  <c r="K52" i="25"/>
  <c r="M52" i="25"/>
  <c r="N52" i="25"/>
  <c r="O52" i="25"/>
  <c r="P52" i="25"/>
  <c r="Q52" i="25"/>
  <c r="R52" i="25"/>
  <c r="S52" i="25"/>
  <c r="T52" i="25"/>
  <c r="U52" i="25"/>
  <c r="A99" i="25"/>
  <c r="B99" i="25"/>
  <c r="C99" i="25"/>
  <c r="D99" i="25"/>
  <c r="E99" i="25"/>
  <c r="F99" i="25"/>
  <c r="G99" i="25"/>
  <c r="H99" i="25"/>
  <c r="I99" i="25"/>
  <c r="J99" i="25"/>
  <c r="K99" i="25"/>
  <c r="L99" i="25"/>
  <c r="M99" i="25"/>
  <c r="N99" i="25"/>
  <c r="O99" i="25"/>
  <c r="P99" i="25"/>
  <c r="Q99" i="25"/>
  <c r="R99" i="25"/>
  <c r="S99" i="25"/>
  <c r="T99" i="25"/>
  <c r="U99" i="25"/>
  <c r="A102" i="25"/>
  <c r="B102" i="25"/>
  <c r="C102" i="25"/>
  <c r="D102" i="25"/>
  <c r="E102" i="25"/>
  <c r="F102" i="25"/>
  <c r="G102" i="25"/>
  <c r="H102" i="25"/>
  <c r="I102" i="25"/>
  <c r="J102" i="25"/>
  <c r="K102" i="25"/>
  <c r="M102" i="25"/>
  <c r="O102" i="25"/>
  <c r="P102" i="25"/>
  <c r="Q102" i="25"/>
  <c r="R102" i="25"/>
  <c r="S102" i="25"/>
  <c r="T102" i="25"/>
  <c r="U102" i="25"/>
  <c r="A110" i="25"/>
  <c r="B110" i="25"/>
  <c r="C110" i="25"/>
  <c r="D110" i="25"/>
  <c r="E110" i="25"/>
  <c r="F110" i="25"/>
  <c r="G110" i="25"/>
  <c r="H110" i="25"/>
  <c r="I110" i="25"/>
  <c r="J110" i="25"/>
  <c r="K110" i="25"/>
  <c r="M110" i="25"/>
  <c r="O110" i="25"/>
  <c r="P110" i="25"/>
  <c r="Q110" i="25"/>
  <c r="R110" i="25"/>
  <c r="S110" i="25"/>
  <c r="T110" i="25"/>
  <c r="U110" i="25"/>
  <c r="A128" i="25"/>
  <c r="B128" i="25"/>
  <c r="C128" i="25"/>
  <c r="D128" i="25"/>
  <c r="E128" i="25"/>
  <c r="F128" i="25"/>
  <c r="G128" i="25"/>
  <c r="H128" i="25"/>
  <c r="I128" i="25"/>
  <c r="J128" i="25"/>
  <c r="K128" i="25"/>
  <c r="M128" i="25"/>
  <c r="O128" i="25"/>
  <c r="P128" i="25"/>
  <c r="Q128" i="25"/>
  <c r="R128" i="25"/>
  <c r="S128" i="25"/>
  <c r="T128" i="25"/>
  <c r="U128" i="25"/>
  <c r="A146" i="25"/>
  <c r="B146" i="25"/>
  <c r="C146" i="25"/>
  <c r="D146" i="25"/>
  <c r="E146" i="25"/>
  <c r="F146" i="25"/>
  <c r="G146" i="25"/>
  <c r="H146" i="25"/>
  <c r="I146" i="25"/>
  <c r="J146" i="25"/>
  <c r="K146" i="25"/>
  <c r="L146" i="25"/>
  <c r="M146" i="25"/>
  <c r="O146" i="25"/>
  <c r="P146" i="25"/>
  <c r="Q146" i="25"/>
  <c r="R146" i="25"/>
  <c r="S146" i="25"/>
  <c r="T146" i="25"/>
  <c r="U146" i="25"/>
  <c r="A193" i="25"/>
  <c r="B193" i="25"/>
  <c r="C193" i="25"/>
  <c r="D193" i="25"/>
  <c r="E193" i="25"/>
  <c r="F193" i="25"/>
  <c r="G193" i="25"/>
  <c r="H193" i="25"/>
  <c r="I193" i="25"/>
  <c r="J193" i="25"/>
  <c r="K193" i="25"/>
  <c r="M193" i="25"/>
  <c r="O193" i="25"/>
  <c r="P193" i="25"/>
  <c r="Q193" i="25"/>
  <c r="R193" i="25"/>
  <c r="S193" i="25"/>
  <c r="T193" i="25"/>
  <c r="U193" i="25"/>
  <c r="A229" i="25"/>
  <c r="B229" i="25"/>
  <c r="C229" i="25"/>
  <c r="D229" i="25"/>
  <c r="E229" i="25"/>
  <c r="F229" i="25"/>
  <c r="G229" i="25"/>
  <c r="H229" i="25"/>
  <c r="I229" i="25"/>
  <c r="J229" i="25"/>
  <c r="K229" i="25"/>
  <c r="M229" i="25"/>
  <c r="O229" i="25"/>
  <c r="P229" i="25"/>
  <c r="Q229" i="25"/>
  <c r="R229" i="25"/>
  <c r="S229" i="25"/>
  <c r="T229" i="25"/>
  <c r="U229" i="25"/>
  <c r="A18" i="25"/>
  <c r="B18" i="25"/>
  <c r="C18" i="25"/>
  <c r="D18" i="25"/>
  <c r="F18" i="25"/>
  <c r="G18" i="25"/>
  <c r="H18" i="25"/>
  <c r="I18" i="25"/>
  <c r="J18" i="25"/>
  <c r="K18" i="25"/>
  <c r="M18" i="25"/>
  <c r="O18" i="25"/>
  <c r="P18" i="25"/>
  <c r="Q18" i="25"/>
  <c r="R18" i="25"/>
  <c r="S18" i="25"/>
  <c r="T18" i="25"/>
  <c r="U18" i="25"/>
  <c r="A26" i="25"/>
  <c r="B26" i="25"/>
  <c r="C26" i="25"/>
  <c r="D26" i="25"/>
  <c r="F26" i="25"/>
  <c r="G26" i="25"/>
  <c r="H26" i="25"/>
  <c r="I26" i="25"/>
  <c r="J26" i="25"/>
  <c r="K26" i="25"/>
  <c r="M26" i="25"/>
  <c r="O26" i="25"/>
  <c r="P26" i="25"/>
  <c r="Q26" i="25"/>
  <c r="R26" i="25"/>
  <c r="S26" i="25"/>
  <c r="T26" i="25"/>
  <c r="U26" i="25"/>
  <c r="A43" i="25"/>
  <c r="B43" i="25"/>
  <c r="C43" i="25"/>
  <c r="D43" i="25"/>
  <c r="E43" i="25"/>
  <c r="F43" i="25"/>
  <c r="G43" i="25"/>
  <c r="H43" i="25"/>
  <c r="I43" i="25"/>
  <c r="J43" i="25"/>
  <c r="K43" i="25"/>
  <c r="M43" i="25"/>
  <c r="N43" i="25"/>
  <c r="O43" i="25"/>
  <c r="P43" i="25"/>
  <c r="Q43" i="25"/>
  <c r="R43" i="25"/>
  <c r="S43" i="25"/>
  <c r="T43" i="25"/>
  <c r="U43" i="25"/>
  <c r="A63" i="25"/>
  <c r="B63" i="25"/>
  <c r="C63" i="25"/>
  <c r="D63" i="25"/>
  <c r="E63" i="25"/>
  <c r="F63" i="25"/>
  <c r="G63" i="25"/>
  <c r="H63" i="25"/>
  <c r="I63" i="25"/>
  <c r="J63" i="25"/>
  <c r="K63" i="25"/>
  <c r="M63" i="25"/>
  <c r="O63" i="25"/>
  <c r="P63" i="25"/>
  <c r="Q63" i="25"/>
  <c r="R63" i="25"/>
  <c r="S63" i="25"/>
  <c r="T63" i="25"/>
  <c r="U63" i="25"/>
  <c r="A73" i="25"/>
  <c r="B73" i="25"/>
  <c r="C73" i="25"/>
  <c r="D73" i="25"/>
  <c r="E73" i="25"/>
  <c r="F73" i="25"/>
  <c r="G73" i="25"/>
  <c r="H73" i="25"/>
  <c r="I73" i="25"/>
  <c r="J73" i="25"/>
  <c r="K73" i="25"/>
  <c r="M73" i="25"/>
  <c r="O73" i="25"/>
  <c r="P73" i="25"/>
  <c r="Q73" i="25"/>
  <c r="R73" i="25"/>
  <c r="S73" i="25"/>
  <c r="T73" i="25"/>
  <c r="U73" i="25"/>
  <c r="A96" i="25"/>
  <c r="B96" i="25"/>
  <c r="C96" i="25"/>
  <c r="D96" i="25"/>
  <c r="E96" i="25"/>
  <c r="F96" i="25"/>
  <c r="G96" i="25"/>
  <c r="H96" i="25"/>
  <c r="I96" i="25"/>
  <c r="J96" i="25"/>
  <c r="K96" i="25"/>
  <c r="M96" i="25"/>
  <c r="O96" i="25"/>
  <c r="Q96" i="25"/>
  <c r="R96" i="25"/>
  <c r="S96" i="25"/>
  <c r="T96" i="25"/>
  <c r="U96" i="25"/>
  <c r="A97" i="25"/>
  <c r="B97" i="25"/>
  <c r="C97" i="25"/>
  <c r="D97" i="25"/>
  <c r="E97" i="25"/>
  <c r="F97" i="25"/>
  <c r="G97" i="25"/>
  <c r="H97" i="25"/>
  <c r="I97" i="25"/>
  <c r="J97" i="25"/>
  <c r="K97" i="25"/>
  <c r="M97" i="25"/>
  <c r="O97" i="25"/>
  <c r="P97" i="25"/>
  <c r="Q97" i="25"/>
  <c r="R97" i="25"/>
  <c r="S97" i="25"/>
  <c r="T97" i="25"/>
  <c r="U97" i="25"/>
  <c r="A98" i="25"/>
  <c r="B98" i="25"/>
  <c r="C98" i="25"/>
  <c r="D98" i="25"/>
  <c r="E98" i="25"/>
  <c r="F98" i="25"/>
  <c r="G98" i="25"/>
  <c r="H98" i="25"/>
  <c r="I98" i="25"/>
  <c r="J98" i="25"/>
  <c r="K98" i="25"/>
  <c r="M98" i="25"/>
  <c r="O98" i="25"/>
  <c r="P98" i="25"/>
  <c r="Q98" i="25"/>
  <c r="R98" i="25"/>
  <c r="S98" i="25"/>
  <c r="T98" i="25"/>
  <c r="U98" i="25"/>
  <c r="A109" i="25"/>
  <c r="B109" i="25"/>
  <c r="C109" i="25"/>
  <c r="D109" i="25"/>
  <c r="E109" i="25"/>
  <c r="F109" i="25"/>
  <c r="G109" i="25"/>
  <c r="H109" i="25"/>
  <c r="I109" i="25"/>
  <c r="J109" i="25"/>
  <c r="K109" i="25"/>
  <c r="M109" i="25"/>
  <c r="O109" i="25"/>
  <c r="P109" i="25"/>
  <c r="Q109" i="25"/>
  <c r="R109" i="25"/>
  <c r="S109" i="25"/>
  <c r="T109" i="25"/>
  <c r="U109" i="25"/>
  <c r="A118" i="25"/>
  <c r="B118" i="25"/>
  <c r="C118" i="25"/>
  <c r="D118" i="25"/>
  <c r="E118" i="25"/>
  <c r="F118" i="25"/>
  <c r="G118" i="25"/>
  <c r="H118" i="25"/>
  <c r="I118" i="25"/>
  <c r="J118" i="25"/>
  <c r="K118" i="25"/>
  <c r="L118" i="25"/>
  <c r="M118" i="25"/>
  <c r="O118" i="25"/>
  <c r="P118" i="25"/>
  <c r="Q118" i="25"/>
  <c r="R118" i="25"/>
  <c r="S118" i="25"/>
  <c r="T118" i="25"/>
  <c r="U118" i="25"/>
  <c r="A119" i="25"/>
  <c r="B119" i="25"/>
  <c r="C119" i="25"/>
  <c r="D119" i="25"/>
  <c r="E119" i="25"/>
  <c r="F119" i="25"/>
  <c r="G119" i="25"/>
  <c r="H119" i="25"/>
  <c r="I119" i="25"/>
  <c r="J119" i="25"/>
  <c r="K119" i="25"/>
  <c r="M119" i="25"/>
  <c r="O119" i="25"/>
  <c r="P119" i="25"/>
  <c r="Q119" i="25"/>
  <c r="R119" i="25"/>
  <c r="S119" i="25"/>
  <c r="T119" i="25"/>
  <c r="U119" i="25"/>
  <c r="A126" i="25"/>
  <c r="B126" i="25"/>
  <c r="C126" i="25"/>
  <c r="D126" i="25"/>
  <c r="E126" i="25"/>
  <c r="F126" i="25"/>
  <c r="G126" i="25"/>
  <c r="H126" i="25"/>
  <c r="I126" i="25"/>
  <c r="J126" i="25"/>
  <c r="K126" i="25"/>
  <c r="M126" i="25"/>
  <c r="O126" i="25"/>
  <c r="P126" i="25"/>
  <c r="Q126" i="25"/>
  <c r="R126" i="25"/>
  <c r="S126" i="25"/>
  <c r="T126" i="25"/>
  <c r="U126" i="25"/>
  <c r="A127" i="25"/>
  <c r="B127" i="25"/>
  <c r="C127" i="25"/>
  <c r="D127" i="25"/>
  <c r="E127" i="25"/>
  <c r="F127" i="25"/>
  <c r="G127" i="25"/>
  <c r="H127" i="25"/>
  <c r="I127" i="25"/>
  <c r="J127" i="25"/>
  <c r="K127" i="25"/>
  <c r="M127" i="25"/>
  <c r="O127" i="25"/>
  <c r="P127" i="25"/>
  <c r="Q127" i="25"/>
  <c r="R127" i="25"/>
  <c r="S127" i="25"/>
  <c r="T127" i="25"/>
  <c r="U127" i="25"/>
  <c r="A158" i="25"/>
  <c r="B158" i="25"/>
  <c r="C158" i="25"/>
  <c r="D158" i="25"/>
  <c r="E158" i="25"/>
  <c r="F158" i="25"/>
  <c r="G158" i="25"/>
  <c r="H158" i="25"/>
  <c r="I158" i="25"/>
  <c r="J158" i="25"/>
  <c r="K158" i="25"/>
  <c r="L158" i="25"/>
  <c r="M158" i="25"/>
  <c r="N158" i="25"/>
  <c r="O158" i="25"/>
  <c r="P158" i="25"/>
  <c r="Q158" i="25"/>
  <c r="R158" i="25"/>
  <c r="S158" i="25"/>
  <c r="T158" i="25"/>
  <c r="U158" i="25"/>
  <c r="A174" i="25"/>
  <c r="B174" i="25"/>
  <c r="C174" i="25"/>
  <c r="D174" i="25"/>
  <c r="E174" i="25"/>
  <c r="F174" i="25"/>
  <c r="G174" i="25"/>
  <c r="H174" i="25"/>
  <c r="I174" i="25"/>
  <c r="J174" i="25"/>
  <c r="K174" i="25"/>
  <c r="M174" i="25"/>
  <c r="N174" i="25"/>
  <c r="O174" i="25"/>
  <c r="P174" i="25"/>
  <c r="Q174" i="25"/>
  <c r="R174" i="25"/>
  <c r="S174" i="25"/>
  <c r="T174" i="25"/>
  <c r="U174" i="25"/>
  <c r="A201" i="25"/>
  <c r="B201" i="25"/>
  <c r="C201" i="25"/>
  <c r="D201" i="25"/>
  <c r="E201" i="25"/>
  <c r="F201" i="25"/>
  <c r="G201" i="25"/>
  <c r="H201" i="25"/>
  <c r="I201" i="25"/>
  <c r="J201" i="25"/>
  <c r="K201" i="25"/>
  <c r="M201" i="25"/>
  <c r="O201" i="25"/>
  <c r="P201" i="25"/>
  <c r="Q201" i="25"/>
  <c r="R201" i="25"/>
  <c r="S201" i="25"/>
  <c r="T201" i="25"/>
  <c r="U201" i="25"/>
  <c r="A212" i="25"/>
  <c r="B212" i="25"/>
  <c r="C212" i="25"/>
  <c r="D212" i="25"/>
  <c r="E212" i="25"/>
  <c r="F212" i="25"/>
  <c r="G212" i="25"/>
  <c r="H212" i="25"/>
  <c r="I212" i="25"/>
  <c r="J212" i="25"/>
  <c r="K212" i="25"/>
  <c r="L212" i="25"/>
  <c r="M212" i="25"/>
  <c r="O212" i="25"/>
  <c r="P212" i="25"/>
  <c r="Q212" i="25"/>
  <c r="R212" i="25"/>
  <c r="S212" i="25"/>
  <c r="T212" i="25"/>
  <c r="U212" i="25"/>
  <c r="A243" i="25"/>
  <c r="B243" i="25"/>
  <c r="C243" i="25"/>
  <c r="D243" i="25"/>
  <c r="E243" i="25"/>
  <c r="F243" i="25"/>
  <c r="G243" i="25"/>
  <c r="H243" i="25"/>
  <c r="I243" i="25"/>
  <c r="J243" i="25"/>
  <c r="K243" i="25"/>
  <c r="M243" i="25"/>
  <c r="N243" i="25"/>
  <c r="O243" i="25"/>
  <c r="P243" i="25"/>
  <c r="Q243" i="25"/>
  <c r="R243" i="25"/>
  <c r="S243" i="25"/>
  <c r="T243" i="25"/>
  <c r="U243" i="25"/>
  <c r="A244" i="25"/>
  <c r="B244" i="25"/>
  <c r="C244" i="25"/>
  <c r="D244" i="25"/>
  <c r="E244" i="25"/>
  <c r="F244" i="25"/>
  <c r="G244" i="25"/>
  <c r="H244" i="25"/>
  <c r="I244" i="25"/>
  <c r="J244" i="25"/>
  <c r="K244" i="25"/>
  <c r="M244" i="25"/>
  <c r="O244" i="25"/>
  <c r="P244" i="25"/>
  <c r="Q244" i="25"/>
  <c r="R244" i="25"/>
  <c r="S244" i="25"/>
  <c r="T244" i="25"/>
  <c r="U244" i="25"/>
  <c r="A252" i="25"/>
  <c r="B252" i="25"/>
  <c r="C252" i="25"/>
  <c r="D252" i="25"/>
  <c r="E252" i="25"/>
  <c r="F252" i="25"/>
  <c r="G252" i="25"/>
  <c r="H252" i="25"/>
  <c r="I252" i="25"/>
  <c r="J252" i="25"/>
  <c r="K252" i="25"/>
  <c r="M252" i="25"/>
  <c r="O252" i="25"/>
  <c r="P252" i="25"/>
  <c r="Q252" i="25"/>
  <c r="R252" i="25"/>
  <c r="S252" i="25"/>
  <c r="T252" i="25"/>
  <c r="U252" i="25"/>
  <c r="A267" i="25"/>
  <c r="B267" i="25"/>
  <c r="C267" i="25"/>
  <c r="D267" i="25"/>
  <c r="E267" i="25"/>
  <c r="F267" i="25"/>
  <c r="G267" i="25"/>
  <c r="H267" i="25"/>
  <c r="I267" i="25"/>
  <c r="J267" i="25"/>
  <c r="K267" i="25"/>
  <c r="M267" i="25"/>
  <c r="N267" i="25"/>
  <c r="O267" i="25"/>
  <c r="P267" i="25"/>
  <c r="Q267" i="25"/>
  <c r="R267" i="25"/>
  <c r="S267" i="25"/>
  <c r="T267" i="25"/>
  <c r="U267" i="25"/>
  <c r="A273" i="25"/>
  <c r="B273" i="25"/>
  <c r="C273" i="25"/>
  <c r="D273" i="25"/>
  <c r="E273" i="25"/>
  <c r="F273" i="25"/>
  <c r="G273" i="25"/>
  <c r="H273" i="25"/>
  <c r="I273" i="25"/>
  <c r="J273" i="25"/>
  <c r="K273" i="25"/>
  <c r="M273" i="25"/>
  <c r="O273" i="25"/>
  <c r="P273" i="25"/>
  <c r="Q273" i="25"/>
  <c r="R273" i="25"/>
  <c r="S273" i="25"/>
  <c r="T273" i="25"/>
  <c r="U273" i="25"/>
  <c r="A299" i="25"/>
  <c r="B299" i="25"/>
  <c r="C299" i="25"/>
  <c r="D299" i="25"/>
  <c r="E299" i="25"/>
  <c r="F299" i="25"/>
  <c r="G299" i="25"/>
  <c r="H299" i="25"/>
  <c r="I299" i="25"/>
  <c r="J299" i="25"/>
  <c r="K299" i="25"/>
  <c r="M299" i="25"/>
  <c r="O299" i="25"/>
  <c r="Q299" i="25"/>
  <c r="R299" i="25"/>
  <c r="S299" i="25"/>
  <c r="T299" i="25"/>
  <c r="U299" i="25"/>
  <c r="A16" i="25"/>
  <c r="B16" i="25"/>
  <c r="C16" i="25"/>
  <c r="D16" i="25"/>
  <c r="F16" i="25"/>
  <c r="G16" i="25"/>
  <c r="H16" i="25"/>
  <c r="I16" i="25"/>
  <c r="J16" i="25"/>
  <c r="K16" i="25"/>
  <c r="M16" i="25"/>
  <c r="O16" i="25"/>
  <c r="P16" i="25"/>
  <c r="Q16" i="25"/>
  <c r="R16" i="25"/>
  <c r="S16" i="25"/>
  <c r="T16" i="25"/>
  <c r="U16" i="25"/>
  <c r="A209" i="25"/>
  <c r="B209" i="25"/>
  <c r="C209" i="25"/>
  <c r="D209" i="25"/>
  <c r="F209" i="25"/>
  <c r="G209" i="25"/>
  <c r="H209" i="25"/>
  <c r="I209" i="25"/>
  <c r="J209" i="25"/>
  <c r="K209" i="25"/>
  <c r="M209" i="25"/>
  <c r="N209" i="25"/>
  <c r="O209" i="25"/>
  <c r="P209" i="25"/>
  <c r="Q209" i="25"/>
  <c r="R209" i="25"/>
  <c r="S209" i="25"/>
  <c r="T209" i="25"/>
  <c r="U209" i="25"/>
  <c r="A253" i="25"/>
  <c r="B253" i="25"/>
  <c r="C253" i="25"/>
  <c r="D253" i="25"/>
  <c r="F253" i="25"/>
  <c r="G253" i="25"/>
  <c r="H253" i="25"/>
  <c r="I253" i="25"/>
  <c r="J253" i="25"/>
  <c r="K253" i="25"/>
  <c r="M253" i="25"/>
  <c r="O253" i="25"/>
  <c r="P253" i="25"/>
  <c r="Q253" i="25"/>
  <c r="R253" i="25"/>
  <c r="S253" i="25"/>
  <c r="T253" i="25"/>
  <c r="U253" i="25"/>
  <c r="A286" i="25"/>
  <c r="B286" i="25"/>
  <c r="C286" i="25"/>
  <c r="D286" i="25"/>
  <c r="F286" i="25"/>
  <c r="G286" i="25"/>
  <c r="H286" i="25"/>
  <c r="I286" i="25"/>
  <c r="J286" i="25"/>
  <c r="K286" i="25"/>
  <c r="M286" i="25"/>
  <c r="O286" i="25"/>
  <c r="P286" i="25"/>
  <c r="Q286" i="25"/>
  <c r="R286" i="25"/>
  <c r="S286" i="25"/>
  <c r="T286" i="25"/>
  <c r="U286" i="25"/>
  <c r="A321" i="25"/>
  <c r="B321" i="25"/>
  <c r="C321" i="25"/>
  <c r="D321" i="25"/>
  <c r="F321" i="25"/>
  <c r="G321" i="25"/>
  <c r="H321" i="25"/>
  <c r="I321" i="25"/>
  <c r="J321" i="25"/>
  <c r="K321" i="25"/>
  <c r="M321" i="25"/>
  <c r="O321" i="25"/>
  <c r="P321" i="25"/>
  <c r="Q321" i="25"/>
  <c r="R321" i="25"/>
  <c r="S321" i="25"/>
  <c r="T321" i="25"/>
  <c r="U321" i="25"/>
  <c r="A95" i="25"/>
  <c r="B95" i="25"/>
  <c r="C95" i="25"/>
  <c r="D95" i="25"/>
  <c r="F95" i="25"/>
  <c r="G95" i="25"/>
  <c r="H95" i="25"/>
  <c r="I95" i="25"/>
  <c r="J95" i="25"/>
  <c r="K95" i="25"/>
  <c r="M95" i="25"/>
  <c r="O95" i="25"/>
  <c r="P95" i="25"/>
  <c r="Q95" i="25"/>
  <c r="R95" i="25"/>
  <c r="S95" i="25"/>
  <c r="T95" i="25"/>
  <c r="U95" i="25"/>
  <c r="A134" i="25"/>
  <c r="B134" i="25"/>
  <c r="C134" i="25"/>
  <c r="D134" i="25"/>
  <c r="F134" i="25"/>
  <c r="G134" i="25"/>
  <c r="H134" i="25"/>
  <c r="I134" i="25"/>
  <c r="J134" i="25"/>
  <c r="K134" i="25"/>
  <c r="M134" i="25"/>
  <c r="O134" i="25"/>
  <c r="P134" i="25"/>
  <c r="Q134" i="25"/>
  <c r="R134" i="25"/>
  <c r="S134" i="25"/>
  <c r="T134" i="25"/>
  <c r="U134" i="25"/>
  <c r="A177" i="25"/>
  <c r="B177" i="25"/>
  <c r="C177" i="25"/>
  <c r="D177" i="25"/>
  <c r="F177" i="25"/>
  <c r="G177" i="25"/>
  <c r="H177" i="25"/>
  <c r="I177" i="25"/>
  <c r="J177" i="25"/>
  <c r="K177" i="25"/>
  <c r="M177" i="25"/>
  <c r="O177" i="25"/>
  <c r="P177" i="25"/>
  <c r="Q177" i="25"/>
  <c r="R177" i="25"/>
  <c r="S177" i="25"/>
  <c r="T177" i="25"/>
  <c r="U177" i="25"/>
  <c r="A254" i="25"/>
  <c r="B254" i="25"/>
  <c r="C254" i="25"/>
  <c r="D254" i="25"/>
  <c r="F254" i="25"/>
  <c r="G254" i="25"/>
  <c r="H254" i="25"/>
  <c r="I254" i="25"/>
  <c r="J254" i="25"/>
  <c r="K254" i="25"/>
  <c r="M254" i="25"/>
  <c r="O254" i="25"/>
  <c r="P254" i="25"/>
  <c r="Q254" i="25"/>
  <c r="R254" i="25"/>
  <c r="S254" i="25"/>
  <c r="T254" i="25"/>
  <c r="U254" i="25"/>
  <c r="A124" i="25"/>
  <c r="B124" i="25"/>
  <c r="C124" i="25"/>
  <c r="D124" i="25"/>
  <c r="F124" i="25"/>
  <c r="G124" i="25"/>
  <c r="H124" i="25"/>
  <c r="I124" i="25"/>
  <c r="J124" i="25"/>
  <c r="K124" i="25"/>
  <c r="M124" i="25"/>
  <c r="O124" i="25"/>
  <c r="P124" i="25"/>
  <c r="Q124" i="25"/>
  <c r="R124" i="25"/>
  <c r="S124" i="25"/>
  <c r="T124" i="25"/>
  <c r="U124" i="25"/>
  <c r="A157" i="25"/>
  <c r="B157" i="25"/>
  <c r="C157" i="25"/>
  <c r="D157" i="25"/>
  <c r="F157" i="25"/>
  <c r="G157" i="25"/>
  <c r="H157" i="25"/>
  <c r="I157" i="25"/>
  <c r="J157" i="25"/>
  <c r="K157" i="25"/>
  <c r="L157" i="25"/>
  <c r="M157" i="25"/>
  <c r="O157" i="25"/>
  <c r="P157" i="25"/>
  <c r="Q157" i="25"/>
  <c r="R157" i="25"/>
  <c r="S157" i="25"/>
  <c r="T157" i="25"/>
  <c r="U157" i="25"/>
  <c r="A168" i="25"/>
  <c r="B168" i="25"/>
  <c r="C168" i="25"/>
  <c r="D168" i="25"/>
  <c r="F168" i="25"/>
  <c r="G168" i="25"/>
  <c r="H168" i="25"/>
  <c r="I168" i="25"/>
  <c r="J168" i="25"/>
  <c r="K168" i="25"/>
  <c r="M168" i="25"/>
  <c r="O168" i="25"/>
  <c r="P168" i="25"/>
  <c r="Q168" i="25"/>
  <c r="R168" i="25"/>
  <c r="S168" i="25"/>
  <c r="T168" i="25"/>
  <c r="U168" i="25"/>
  <c r="A207" i="25"/>
  <c r="B207" i="25"/>
  <c r="C207" i="25"/>
  <c r="D207" i="25"/>
  <c r="F207" i="25"/>
  <c r="G207" i="25"/>
  <c r="H207" i="25"/>
  <c r="I207" i="25"/>
  <c r="J207" i="25"/>
  <c r="K207" i="25"/>
  <c r="L207" i="25"/>
  <c r="M207" i="25"/>
  <c r="O207" i="25"/>
  <c r="P207" i="25"/>
  <c r="Q207" i="25"/>
  <c r="R207" i="25"/>
  <c r="S207" i="25"/>
  <c r="T207" i="25"/>
  <c r="U207" i="25"/>
  <c r="A213" i="25"/>
  <c r="B213" i="25"/>
  <c r="C213" i="25"/>
  <c r="D213" i="25"/>
  <c r="F213" i="25"/>
  <c r="G213" i="25"/>
  <c r="H213" i="25"/>
  <c r="I213" i="25"/>
  <c r="J213" i="25"/>
  <c r="K213" i="25"/>
  <c r="M213" i="25"/>
  <c r="N213" i="25"/>
  <c r="O213" i="25"/>
  <c r="P213" i="25"/>
  <c r="Q213" i="25"/>
  <c r="R213" i="25"/>
  <c r="S213" i="25"/>
  <c r="T213" i="25"/>
  <c r="U213" i="25"/>
  <c r="A300" i="25"/>
  <c r="B300" i="25"/>
  <c r="C300" i="25"/>
  <c r="D300" i="25"/>
  <c r="F300" i="25"/>
  <c r="G300" i="25"/>
  <c r="H300" i="25"/>
  <c r="I300" i="25"/>
  <c r="J300" i="25"/>
  <c r="K300" i="25"/>
  <c r="M300" i="25"/>
  <c r="N300" i="25"/>
  <c r="O300" i="25"/>
  <c r="P300" i="25"/>
  <c r="Q300" i="25"/>
  <c r="R300" i="25"/>
  <c r="S300" i="25"/>
  <c r="T300" i="25"/>
  <c r="U300" i="25"/>
  <c r="A314" i="25"/>
  <c r="B314" i="25"/>
  <c r="C314" i="25"/>
  <c r="D314" i="25"/>
  <c r="F314" i="25"/>
  <c r="G314" i="25"/>
  <c r="H314" i="25"/>
  <c r="I314" i="25"/>
  <c r="J314" i="25"/>
  <c r="K314" i="25"/>
  <c r="M314" i="25"/>
  <c r="O314" i="25"/>
  <c r="P314" i="25"/>
  <c r="Q314" i="25"/>
  <c r="R314" i="25"/>
  <c r="S314" i="25"/>
  <c r="T314" i="25"/>
  <c r="U314" i="25"/>
  <c r="A330" i="25"/>
  <c r="B330" i="25"/>
  <c r="C330" i="25"/>
  <c r="D330" i="25"/>
  <c r="F330" i="25"/>
  <c r="G330" i="25"/>
  <c r="H330" i="25"/>
  <c r="I330" i="25"/>
  <c r="J330" i="25"/>
  <c r="K330" i="25"/>
  <c r="M330" i="25"/>
  <c r="O330" i="25"/>
  <c r="P330" i="25"/>
  <c r="Q330" i="25"/>
  <c r="R330" i="25"/>
  <c r="S330" i="25"/>
  <c r="T330" i="25"/>
  <c r="U330" i="25"/>
  <c r="A360" i="25"/>
  <c r="B360" i="25"/>
  <c r="C360" i="25"/>
  <c r="D360" i="25"/>
  <c r="F360" i="25"/>
  <c r="G360" i="25"/>
  <c r="H360" i="25"/>
  <c r="I360" i="25"/>
  <c r="J360" i="25"/>
  <c r="K360" i="25"/>
  <c r="M360" i="25"/>
  <c r="O360" i="25"/>
  <c r="P360" i="25"/>
  <c r="Q360" i="25"/>
  <c r="R360" i="25"/>
  <c r="S360" i="25"/>
  <c r="T360" i="25"/>
  <c r="U360" i="25"/>
  <c r="A51" i="25"/>
  <c r="B51" i="25"/>
  <c r="C51" i="25"/>
  <c r="D51" i="25"/>
  <c r="F51" i="25"/>
  <c r="G51" i="25"/>
  <c r="H51" i="25"/>
  <c r="I51" i="25"/>
  <c r="J51" i="25"/>
  <c r="K51" i="25"/>
  <c r="M51" i="25"/>
  <c r="N51" i="25"/>
  <c r="O51" i="25"/>
  <c r="P51" i="25"/>
  <c r="Q51" i="25"/>
  <c r="R51" i="25"/>
  <c r="S51" i="25"/>
  <c r="T51" i="25"/>
  <c r="U51" i="25"/>
  <c r="A94" i="25"/>
  <c r="B94" i="25"/>
  <c r="C94" i="25"/>
  <c r="D94" i="25"/>
  <c r="F94" i="25"/>
  <c r="G94" i="25"/>
  <c r="H94" i="25"/>
  <c r="I94" i="25"/>
  <c r="J94" i="25"/>
  <c r="K94" i="25"/>
  <c r="M94" i="25"/>
  <c r="O94" i="25"/>
  <c r="P94" i="25"/>
  <c r="Q94" i="25"/>
  <c r="R94" i="25"/>
  <c r="S94" i="25"/>
  <c r="T94" i="25"/>
  <c r="U94" i="25"/>
  <c r="A125" i="25"/>
  <c r="B125" i="25"/>
  <c r="C125" i="25"/>
  <c r="D125" i="25"/>
  <c r="F125" i="25"/>
  <c r="G125" i="25"/>
  <c r="H125" i="25"/>
  <c r="I125" i="25"/>
  <c r="J125" i="25"/>
  <c r="K125" i="25"/>
  <c r="M125" i="25"/>
  <c r="O125" i="25"/>
  <c r="P125" i="25"/>
  <c r="Q125" i="25"/>
  <c r="R125" i="25"/>
  <c r="S125" i="25"/>
  <c r="T125" i="25"/>
  <c r="U125" i="25"/>
  <c r="A137" i="25"/>
  <c r="B137" i="25"/>
  <c r="C137" i="25"/>
  <c r="D137" i="25"/>
  <c r="F137" i="25"/>
  <c r="G137" i="25"/>
  <c r="H137" i="25"/>
  <c r="I137" i="25"/>
  <c r="J137" i="25"/>
  <c r="K137" i="25"/>
  <c r="M137" i="25"/>
  <c r="O137" i="25"/>
  <c r="P137" i="25"/>
  <c r="Q137" i="25"/>
  <c r="R137" i="25"/>
  <c r="S137" i="25"/>
  <c r="T137" i="25"/>
  <c r="U137" i="25"/>
  <c r="A169" i="25"/>
  <c r="B169" i="25"/>
  <c r="C169" i="25"/>
  <c r="D169" i="25"/>
  <c r="F169" i="25"/>
  <c r="G169" i="25"/>
  <c r="H169" i="25"/>
  <c r="I169" i="25"/>
  <c r="J169" i="25"/>
  <c r="K169" i="25"/>
  <c r="M169" i="25"/>
  <c r="O169" i="25"/>
  <c r="P169" i="25"/>
  <c r="Q169" i="25"/>
  <c r="R169" i="25"/>
  <c r="S169" i="25"/>
  <c r="T169" i="25"/>
  <c r="U169" i="25"/>
  <c r="A195" i="25"/>
  <c r="B195" i="25"/>
  <c r="C195" i="25"/>
  <c r="D195" i="25"/>
  <c r="F195" i="25"/>
  <c r="G195" i="25"/>
  <c r="H195" i="25"/>
  <c r="I195" i="25"/>
  <c r="J195" i="25"/>
  <c r="K195" i="25"/>
  <c r="M195" i="25"/>
  <c r="N195" i="25"/>
  <c r="O195" i="25"/>
  <c r="P195" i="25"/>
  <c r="Q195" i="25"/>
  <c r="R195" i="25"/>
  <c r="T195" i="25"/>
  <c r="U195" i="25"/>
  <c r="A156" i="25"/>
  <c r="B156" i="25"/>
  <c r="C156" i="25"/>
  <c r="D156" i="25"/>
  <c r="F156" i="25"/>
  <c r="G156" i="25"/>
  <c r="H156" i="25"/>
  <c r="I156" i="25"/>
  <c r="J156" i="25"/>
  <c r="K156" i="25"/>
  <c r="M156" i="25"/>
  <c r="O156" i="25"/>
  <c r="P156" i="25"/>
  <c r="Q156" i="25"/>
  <c r="R156" i="25"/>
  <c r="S156" i="25"/>
  <c r="T156" i="25"/>
  <c r="U156" i="25"/>
  <c r="A228" i="25"/>
  <c r="B228" i="25"/>
  <c r="C228" i="25"/>
  <c r="D228" i="25"/>
  <c r="F228" i="25"/>
  <c r="G228" i="25"/>
  <c r="H228" i="25"/>
  <c r="I228" i="25"/>
  <c r="J228" i="25"/>
  <c r="K228" i="25"/>
  <c r="M228" i="25"/>
  <c r="O228" i="25"/>
  <c r="P228" i="25"/>
  <c r="Q228" i="25"/>
  <c r="R228" i="25"/>
  <c r="S228" i="25"/>
  <c r="T228" i="25"/>
  <c r="U228" i="25"/>
  <c r="A266" i="25"/>
  <c r="B266" i="25"/>
  <c r="C266" i="25"/>
  <c r="D266" i="25"/>
  <c r="F266" i="25"/>
  <c r="G266" i="25"/>
  <c r="H266" i="25"/>
  <c r="I266" i="25"/>
  <c r="J266" i="25"/>
  <c r="K266" i="25"/>
  <c r="M266" i="25"/>
  <c r="O266" i="25"/>
  <c r="P266" i="25"/>
  <c r="Q266" i="25"/>
  <c r="R266" i="25"/>
  <c r="S266" i="25"/>
  <c r="T266" i="25"/>
  <c r="U266" i="25"/>
  <c r="A377" i="25"/>
  <c r="B377" i="25"/>
  <c r="C377" i="25"/>
  <c r="D377" i="25"/>
  <c r="F377" i="25"/>
  <c r="G377" i="25"/>
  <c r="H377" i="25"/>
  <c r="I377" i="25"/>
  <c r="J377" i="25"/>
  <c r="K377" i="25"/>
  <c r="M377" i="25"/>
  <c r="O377" i="25"/>
  <c r="P377" i="25"/>
  <c r="Q377" i="25"/>
  <c r="R377" i="25"/>
  <c r="S377" i="25"/>
  <c r="T377" i="25"/>
  <c r="U377" i="25"/>
  <c r="A167" i="25"/>
  <c r="B167" i="25"/>
  <c r="C167" i="25"/>
  <c r="D167" i="25"/>
  <c r="F167" i="25"/>
  <c r="G167" i="25"/>
  <c r="H167" i="25"/>
  <c r="I167" i="25"/>
  <c r="J167" i="25"/>
  <c r="K167" i="25"/>
  <c r="L167" i="25"/>
  <c r="M167" i="25"/>
  <c r="N167" i="25"/>
  <c r="O167" i="25"/>
  <c r="P167" i="25"/>
  <c r="Q167" i="25"/>
  <c r="R167" i="25"/>
  <c r="S167" i="25"/>
  <c r="T167" i="25"/>
  <c r="U167" i="25"/>
  <c r="A214" i="25"/>
  <c r="B214" i="25"/>
  <c r="C214" i="25"/>
  <c r="D214" i="25"/>
  <c r="F214" i="25"/>
  <c r="G214" i="25"/>
  <c r="H214" i="25"/>
  <c r="I214" i="25"/>
  <c r="J214" i="25"/>
  <c r="K214" i="25"/>
  <c r="L214" i="25"/>
  <c r="M214" i="25"/>
  <c r="N214" i="25"/>
  <c r="O214" i="25"/>
  <c r="P214" i="25"/>
  <c r="Q214" i="25"/>
  <c r="R214" i="25"/>
  <c r="S214" i="25"/>
  <c r="T214" i="25"/>
  <c r="U214" i="25"/>
  <c r="A48" i="25"/>
  <c r="B48" i="25"/>
  <c r="C48" i="25"/>
  <c r="D48" i="25"/>
  <c r="F48" i="25"/>
  <c r="G48" i="25"/>
  <c r="H48" i="25"/>
  <c r="I48" i="25"/>
  <c r="J48" i="25"/>
  <c r="K48" i="25"/>
  <c r="M48" i="25"/>
  <c r="O48" i="25"/>
  <c r="P48" i="25"/>
  <c r="Q48" i="25"/>
  <c r="R48" i="25"/>
  <c r="S48" i="25"/>
  <c r="T48" i="25"/>
  <c r="U48" i="25"/>
  <c r="A53" i="25"/>
  <c r="B53" i="25"/>
  <c r="C53" i="25"/>
  <c r="D53" i="25"/>
  <c r="F53" i="25"/>
  <c r="G53" i="25"/>
  <c r="H53" i="25"/>
  <c r="I53" i="25"/>
  <c r="J53" i="25"/>
  <c r="K53" i="25"/>
  <c r="L53" i="25"/>
  <c r="M53" i="25"/>
  <c r="O53" i="25"/>
  <c r="P53" i="25"/>
  <c r="Q53" i="25"/>
  <c r="R53" i="25"/>
  <c r="S53" i="25"/>
  <c r="T53" i="25"/>
  <c r="U53" i="25"/>
  <c r="A93" i="25"/>
  <c r="B93" i="25"/>
  <c r="C93" i="25"/>
  <c r="D93" i="25"/>
  <c r="F93" i="25"/>
  <c r="G93" i="25"/>
  <c r="H93" i="25"/>
  <c r="I93" i="25"/>
  <c r="J93" i="25"/>
  <c r="K93" i="25"/>
  <c r="M93" i="25"/>
  <c r="O93" i="25"/>
  <c r="Q93" i="25"/>
  <c r="R93" i="25"/>
  <c r="S93" i="25"/>
  <c r="T93" i="25"/>
  <c r="U93" i="25"/>
  <c r="A121" i="25"/>
  <c r="B121" i="25"/>
  <c r="C121" i="25"/>
  <c r="D121" i="25"/>
  <c r="F121" i="25"/>
  <c r="G121" i="25"/>
  <c r="H121" i="25"/>
  <c r="I121" i="25"/>
  <c r="J121" i="25"/>
  <c r="K121" i="25"/>
  <c r="L121" i="25"/>
  <c r="M121" i="25"/>
  <c r="N121" i="25"/>
  <c r="O121" i="25"/>
  <c r="P121" i="25"/>
  <c r="Q121" i="25"/>
  <c r="R121" i="25"/>
  <c r="S121" i="25"/>
  <c r="T121" i="25"/>
  <c r="U121" i="25"/>
  <c r="A222" i="25"/>
  <c r="B222" i="25"/>
  <c r="C222" i="25"/>
  <c r="D222" i="25"/>
  <c r="F222" i="25"/>
  <c r="G222" i="25"/>
  <c r="H222" i="25"/>
  <c r="I222" i="25"/>
  <c r="J222" i="25"/>
  <c r="K222" i="25"/>
  <c r="M222" i="25"/>
  <c r="O222" i="25"/>
  <c r="Q222" i="25"/>
  <c r="R222" i="25"/>
  <c r="S222" i="25"/>
  <c r="T222" i="25"/>
  <c r="U222" i="25"/>
  <c r="A227" i="25"/>
  <c r="B227" i="25"/>
  <c r="C227" i="25"/>
  <c r="D227" i="25"/>
  <c r="F227" i="25"/>
  <c r="G227" i="25"/>
  <c r="H227" i="25"/>
  <c r="I227" i="25"/>
  <c r="J227" i="25"/>
  <c r="K227" i="25"/>
  <c r="M227" i="25"/>
  <c r="O227" i="25"/>
  <c r="P227" i="25"/>
  <c r="Q227" i="25"/>
  <c r="R227" i="25"/>
  <c r="S227" i="25"/>
  <c r="T227" i="25"/>
  <c r="U227" i="25"/>
  <c r="A241" i="25"/>
  <c r="B241" i="25"/>
  <c r="C241" i="25"/>
  <c r="D241" i="25"/>
  <c r="F241" i="25"/>
  <c r="G241" i="25"/>
  <c r="H241" i="25"/>
  <c r="I241" i="25"/>
  <c r="J241" i="25"/>
  <c r="K241" i="25"/>
  <c r="M241" i="25"/>
  <c r="O241" i="25"/>
  <c r="P241" i="25"/>
  <c r="Q241" i="25"/>
  <c r="R241" i="25"/>
  <c r="S241" i="25"/>
  <c r="T241" i="25"/>
  <c r="U241" i="25"/>
  <c r="A259" i="25"/>
  <c r="B259" i="25"/>
  <c r="C259" i="25"/>
  <c r="D259" i="25"/>
  <c r="F259" i="25"/>
  <c r="G259" i="25"/>
  <c r="H259" i="25"/>
  <c r="I259" i="25"/>
  <c r="J259" i="25"/>
  <c r="K259" i="25"/>
  <c r="L259" i="25"/>
  <c r="M259" i="25"/>
  <c r="O259" i="25"/>
  <c r="P259" i="25"/>
  <c r="Q259" i="25"/>
  <c r="R259" i="25"/>
  <c r="S259" i="25"/>
  <c r="T259" i="25"/>
  <c r="U259" i="25"/>
  <c r="A265" i="25"/>
  <c r="B265" i="25"/>
  <c r="C265" i="25"/>
  <c r="D265" i="25"/>
  <c r="F265" i="25"/>
  <c r="G265" i="25"/>
  <c r="H265" i="25"/>
  <c r="I265" i="25"/>
  <c r="J265" i="25"/>
  <c r="K265" i="25"/>
  <c r="M265" i="25"/>
  <c r="O265" i="25"/>
  <c r="Q265" i="25"/>
  <c r="R265" i="25"/>
  <c r="S265" i="25"/>
  <c r="T265" i="25"/>
  <c r="U265" i="25"/>
  <c r="A271" i="25"/>
  <c r="B271" i="25"/>
  <c r="C271" i="25"/>
  <c r="D271" i="25"/>
  <c r="F271" i="25"/>
  <c r="G271" i="25"/>
  <c r="H271" i="25"/>
  <c r="I271" i="25"/>
  <c r="J271" i="25"/>
  <c r="K271" i="25"/>
  <c r="M271" i="25"/>
  <c r="O271" i="25"/>
  <c r="P271" i="25"/>
  <c r="Q271" i="25"/>
  <c r="R271" i="25"/>
  <c r="S271" i="25"/>
  <c r="T271" i="25"/>
  <c r="U271" i="25"/>
  <c r="A272" i="25"/>
  <c r="B272" i="25"/>
  <c r="C272" i="25"/>
  <c r="D272" i="25"/>
  <c r="F272" i="25"/>
  <c r="G272" i="25"/>
  <c r="H272" i="25"/>
  <c r="I272" i="25"/>
  <c r="J272" i="25"/>
  <c r="K272" i="25"/>
  <c r="M272" i="25"/>
  <c r="O272" i="25"/>
  <c r="P272" i="25"/>
  <c r="Q272" i="25"/>
  <c r="R272" i="25"/>
  <c r="S272" i="25"/>
  <c r="T272" i="25"/>
  <c r="U272" i="25"/>
  <c r="A290" i="25"/>
  <c r="B290" i="25"/>
  <c r="C290" i="25"/>
  <c r="D290" i="25"/>
  <c r="F290" i="25"/>
  <c r="G290" i="25"/>
  <c r="H290" i="25"/>
  <c r="I290" i="25"/>
  <c r="J290" i="25"/>
  <c r="K290" i="25"/>
  <c r="L290" i="25"/>
  <c r="M290" i="25"/>
  <c r="O290" i="25"/>
  <c r="P290" i="25"/>
  <c r="Q290" i="25"/>
  <c r="R290" i="25"/>
  <c r="S290" i="25"/>
  <c r="T290" i="25"/>
  <c r="U290" i="25"/>
  <c r="A298" i="25"/>
  <c r="B298" i="25"/>
  <c r="C298" i="25"/>
  <c r="D298" i="25"/>
  <c r="F298" i="25"/>
  <c r="G298" i="25"/>
  <c r="H298" i="25"/>
  <c r="I298" i="25"/>
  <c r="J298" i="25"/>
  <c r="K298" i="25"/>
  <c r="M298" i="25"/>
  <c r="O298" i="25"/>
  <c r="P298" i="25"/>
  <c r="Q298" i="25"/>
  <c r="R298" i="25"/>
  <c r="S298" i="25"/>
  <c r="T298" i="25"/>
  <c r="U298" i="25"/>
  <c r="A313" i="25"/>
  <c r="B313" i="25"/>
  <c r="C313" i="25"/>
  <c r="D313" i="25"/>
  <c r="F313" i="25"/>
  <c r="G313" i="25"/>
  <c r="H313" i="25"/>
  <c r="I313" i="25"/>
  <c r="J313" i="25"/>
  <c r="K313" i="25"/>
  <c r="M313" i="25"/>
  <c r="O313" i="25"/>
  <c r="P313" i="25"/>
  <c r="Q313" i="25"/>
  <c r="R313" i="25"/>
  <c r="S313" i="25"/>
  <c r="T313" i="25"/>
  <c r="U313" i="25"/>
  <c r="A325" i="25"/>
  <c r="B325" i="25"/>
  <c r="C325" i="25"/>
  <c r="D325" i="25"/>
  <c r="F325" i="25"/>
  <c r="G325" i="25"/>
  <c r="H325" i="25"/>
  <c r="I325" i="25"/>
  <c r="J325" i="25"/>
  <c r="K325" i="25"/>
  <c r="M325" i="25"/>
  <c r="O325" i="25"/>
  <c r="P325" i="25"/>
  <c r="Q325" i="25"/>
  <c r="R325" i="25"/>
  <c r="S325" i="25"/>
  <c r="T325" i="25"/>
  <c r="U325" i="25"/>
  <c r="A332" i="25"/>
  <c r="B332" i="25"/>
  <c r="C332" i="25"/>
  <c r="D332" i="25"/>
  <c r="F332" i="25"/>
  <c r="G332" i="25"/>
  <c r="H332" i="25"/>
  <c r="I332" i="25"/>
  <c r="J332" i="25"/>
  <c r="K332" i="25"/>
  <c r="M332" i="25"/>
  <c r="O332" i="25"/>
  <c r="P332" i="25"/>
  <c r="Q332" i="25"/>
  <c r="R332" i="25"/>
  <c r="S332" i="25"/>
  <c r="T332" i="25"/>
  <c r="U332" i="25"/>
  <c r="A333" i="25"/>
  <c r="B333" i="25"/>
  <c r="C333" i="25"/>
  <c r="D333" i="25"/>
  <c r="F333" i="25"/>
  <c r="G333" i="25"/>
  <c r="H333" i="25"/>
  <c r="I333" i="25"/>
  <c r="J333" i="25"/>
  <c r="K333" i="25"/>
  <c r="M333" i="25"/>
  <c r="O333" i="25"/>
  <c r="Q333" i="25"/>
  <c r="R333" i="25"/>
  <c r="S333" i="25"/>
  <c r="T333" i="25"/>
  <c r="U333" i="25"/>
  <c r="A353" i="25"/>
  <c r="B353" i="25"/>
  <c r="C353" i="25"/>
  <c r="D353" i="25"/>
  <c r="F353" i="25"/>
  <c r="G353" i="25"/>
  <c r="H353" i="25"/>
  <c r="I353" i="25"/>
  <c r="J353" i="25"/>
  <c r="K353" i="25"/>
  <c r="M353" i="25"/>
  <c r="O353" i="25"/>
  <c r="P353" i="25"/>
  <c r="Q353" i="25"/>
  <c r="R353" i="25"/>
  <c r="S353" i="25"/>
  <c r="T353" i="25"/>
  <c r="U353" i="25"/>
  <c r="A359" i="25"/>
  <c r="B359" i="25"/>
  <c r="C359" i="25"/>
  <c r="D359" i="25"/>
  <c r="F359" i="25"/>
  <c r="G359" i="25"/>
  <c r="H359" i="25"/>
  <c r="I359" i="25"/>
  <c r="J359" i="25"/>
  <c r="K359" i="25"/>
  <c r="M359" i="25"/>
  <c r="O359" i="25"/>
  <c r="P359" i="25"/>
  <c r="Q359" i="25"/>
  <c r="R359" i="25"/>
  <c r="S359" i="25"/>
  <c r="T359" i="25"/>
  <c r="U359" i="25"/>
  <c r="A388" i="25"/>
  <c r="B388" i="25"/>
  <c r="C388" i="25"/>
  <c r="D388" i="25"/>
  <c r="F388" i="25"/>
  <c r="G388" i="25"/>
  <c r="H388" i="25"/>
  <c r="I388" i="25"/>
  <c r="J388" i="25"/>
  <c r="K388" i="25"/>
  <c r="M388" i="25"/>
  <c r="O388" i="25"/>
  <c r="P388" i="25"/>
  <c r="Q388" i="25"/>
  <c r="R388" i="25"/>
  <c r="S388" i="25"/>
  <c r="T388" i="25"/>
  <c r="U388" i="25"/>
  <c r="A401" i="25"/>
  <c r="B401" i="25"/>
  <c r="C401" i="25"/>
  <c r="D401" i="25"/>
  <c r="F401" i="25"/>
  <c r="G401" i="25"/>
  <c r="H401" i="25"/>
  <c r="I401" i="25"/>
  <c r="J401" i="25"/>
  <c r="K401" i="25"/>
  <c r="M401" i="25"/>
  <c r="O401" i="25"/>
  <c r="P401" i="25"/>
  <c r="Q401" i="25"/>
  <c r="R401" i="25"/>
  <c r="S401" i="25"/>
  <c r="T401" i="25"/>
  <c r="U401" i="25"/>
  <c r="A154" i="25"/>
  <c r="B154" i="25"/>
  <c r="C154" i="25"/>
  <c r="D154" i="25"/>
  <c r="F154" i="25"/>
  <c r="G154" i="25"/>
  <c r="H154" i="25"/>
  <c r="I154" i="25"/>
  <c r="J154" i="25"/>
  <c r="K154" i="25"/>
  <c r="L154" i="25"/>
  <c r="M154" i="25"/>
  <c r="N154" i="25"/>
  <c r="O154" i="25"/>
  <c r="P154" i="25"/>
  <c r="Q154" i="25"/>
  <c r="R154" i="25"/>
  <c r="S154" i="25"/>
  <c r="T154" i="25"/>
  <c r="U154" i="25"/>
  <c r="A173" i="25"/>
  <c r="B173" i="25"/>
  <c r="C173" i="25"/>
  <c r="D173" i="25"/>
  <c r="F173" i="25"/>
  <c r="G173" i="25"/>
  <c r="H173" i="25"/>
  <c r="I173" i="25"/>
  <c r="J173" i="25"/>
  <c r="K173" i="25"/>
  <c r="M173" i="25"/>
  <c r="O173" i="25"/>
  <c r="P173" i="25"/>
  <c r="Q173" i="25"/>
  <c r="R173" i="25"/>
  <c r="S173" i="25"/>
  <c r="T173" i="25"/>
  <c r="U173" i="25"/>
  <c r="A226" i="25"/>
  <c r="B226" i="25"/>
  <c r="C226" i="25"/>
  <c r="D226" i="25"/>
  <c r="F226" i="25"/>
  <c r="G226" i="25"/>
  <c r="H226" i="25"/>
  <c r="I226" i="25"/>
  <c r="J226" i="25"/>
  <c r="K226" i="25"/>
  <c r="M226" i="25"/>
  <c r="O226" i="25"/>
  <c r="P226" i="25"/>
  <c r="Q226" i="25"/>
  <c r="R226" i="25"/>
  <c r="T226" i="25"/>
  <c r="U226" i="25"/>
  <c r="A258" i="25"/>
  <c r="B258" i="25"/>
  <c r="C258" i="25"/>
  <c r="D258" i="25"/>
  <c r="F258" i="25"/>
  <c r="G258" i="25"/>
  <c r="H258" i="25"/>
  <c r="I258" i="25"/>
  <c r="J258" i="25"/>
  <c r="K258" i="25"/>
  <c r="M258" i="25"/>
  <c r="O258" i="25"/>
  <c r="P258" i="25"/>
  <c r="Q258" i="25"/>
  <c r="R258" i="25"/>
  <c r="S258" i="25"/>
  <c r="T258" i="25"/>
  <c r="U258" i="25"/>
  <c r="A289" i="25"/>
  <c r="B289" i="25"/>
  <c r="C289" i="25"/>
  <c r="D289" i="25"/>
  <c r="F289" i="25"/>
  <c r="G289" i="25"/>
  <c r="H289" i="25"/>
  <c r="I289" i="25"/>
  <c r="J289" i="25"/>
  <c r="K289" i="25"/>
  <c r="M289" i="25"/>
  <c r="O289" i="25"/>
  <c r="P289" i="25"/>
  <c r="Q289" i="25"/>
  <c r="R289" i="25"/>
  <c r="S289" i="25"/>
  <c r="T289" i="25"/>
  <c r="U289" i="25"/>
  <c r="A17" i="25"/>
  <c r="B17" i="25"/>
  <c r="C17" i="25"/>
  <c r="D17" i="25"/>
  <c r="F17" i="25"/>
  <c r="G17" i="25"/>
  <c r="H17" i="25"/>
  <c r="I17" i="25"/>
  <c r="J17" i="25"/>
  <c r="K17" i="25"/>
  <c r="M17" i="25"/>
  <c r="O17" i="25"/>
  <c r="P17" i="25"/>
  <c r="Q17" i="25"/>
  <c r="R17" i="25"/>
  <c r="S17" i="25"/>
  <c r="T17" i="25"/>
  <c r="U17" i="25"/>
  <c r="A25" i="25"/>
  <c r="B25" i="25"/>
  <c r="C25" i="25"/>
  <c r="D25" i="25"/>
  <c r="F25" i="25"/>
  <c r="G25" i="25"/>
  <c r="H25" i="25"/>
  <c r="I25" i="25"/>
  <c r="J25" i="25"/>
  <c r="K25" i="25"/>
  <c r="M25" i="25"/>
  <c r="O25" i="25"/>
  <c r="P25" i="25"/>
  <c r="Q25" i="25"/>
  <c r="R25" i="25"/>
  <c r="S25" i="25"/>
  <c r="T25" i="25"/>
  <c r="U25" i="25"/>
  <c r="A42" i="25"/>
  <c r="B42" i="25"/>
  <c r="C42" i="25"/>
  <c r="D42" i="25"/>
  <c r="F42" i="25"/>
  <c r="G42" i="25"/>
  <c r="H42" i="25"/>
  <c r="I42" i="25"/>
  <c r="J42" i="25"/>
  <c r="K42" i="25"/>
  <c r="M42" i="25"/>
  <c r="O42" i="25"/>
  <c r="P42" i="25"/>
  <c r="Q42" i="25"/>
  <c r="R42" i="25"/>
  <c r="S42" i="25"/>
  <c r="T42" i="25"/>
  <c r="U42" i="25"/>
  <c r="A61" i="25"/>
  <c r="B61" i="25"/>
  <c r="C61" i="25"/>
  <c r="D61" i="25"/>
  <c r="F61" i="25"/>
  <c r="G61" i="25"/>
  <c r="H61" i="25"/>
  <c r="I61" i="25"/>
  <c r="J61" i="25"/>
  <c r="K61" i="25"/>
  <c r="M61" i="25"/>
  <c r="O61" i="25"/>
  <c r="P61" i="25"/>
  <c r="Q61" i="25"/>
  <c r="R61" i="25"/>
  <c r="S61" i="25"/>
  <c r="T61" i="25"/>
  <c r="U61" i="25"/>
  <c r="A82" i="25"/>
  <c r="B82" i="25"/>
  <c r="C82" i="25"/>
  <c r="D82" i="25"/>
  <c r="F82" i="25"/>
  <c r="G82" i="25"/>
  <c r="H82" i="25"/>
  <c r="I82" i="25"/>
  <c r="J82" i="25"/>
  <c r="K82" i="25"/>
  <c r="L82" i="25"/>
  <c r="M82" i="25"/>
  <c r="N82" i="25"/>
  <c r="O82" i="25"/>
  <c r="P82" i="25"/>
  <c r="Q82" i="25"/>
  <c r="R82" i="25"/>
  <c r="S82" i="25"/>
  <c r="T82" i="25"/>
  <c r="U82" i="25"/>
  <c r="A87" i="25"/>
  <c r="B87" i="25"/>
  <c r="C87" i="25"/>
  <c r="D87" i="25"/>
  <c r="F87" i="25"/>
  <c r="G87" i="25"/>
  <c r="H87" i="25"/>
  <c r="I87" i="25"/>
  <c r="J87" i="25"/>
  <c r="K87" i="25"/>
  <c r="M87" i="25"/>
  <c r="N87" i="25"/>
  <c r="O87" i="25"/>
  <c r="P87" i="25"/>
  <c r="Q87" i="25"/>
  <c r="R87" i="25"/>
  <c r="S87" i="25"/>
  <c r="T87" i="25"/>
  <c r="U87" i="25"/>
  <c r="A92" i="25"/>
  <c r="B92" i="25"/>
  <c r="C92" i="25"/>
  <c r="D92" i="25"/>
  <c r="F92" i="25"/>
  <c r="G92" i="25"/>
  <c r="H92" i="25"/>
  <c r="I92" i="25"/>
  <c r="J92" i="25"/>
  <c r="K92" i="25"/>
  <c r="L92" i="25"/>
  <c r="M92" i="25"/>
  <c r="N92" i="25"/>
  <c r="O92" i="25"/>
  <c r="P92" i="25"/>
  <c r="Q92" i="25"/>
  <c r="R92" i="25"/>
  <c r="S92" i="25"/>
  <c r="T92" i="25"/>
  <c r="U92" i="25"/>
  <c r="A108" i="25"/>
  <c r="B108" i="25"/>
  <c r="C108" i="25"/>
  <c r="D108" i="25"/>
  <c r="F108" i="25"/>
  <c r="G108" i="25"/>
  <c r="H108" i="25"/>
  <c r="I108" i="25"/>
  <c r="J108" i="25"/>
  <c r="K108" i="25"/>
  <c r="L108" i="25"/>
  <c r="M108" i="25"/>
  <c r="O108" i="25"/>
  <c r="P108" i="25"/>
  <c r="Q108" i="25"/>
  <c r="R108" i="25"/>
  <c r="S108" i="25"/>
  <c r="T108" i="25"/>
  <c r="U108" i="25"/>
  <c r="A122" i="25"/>
  <c r="B122" i="25"/>
  <c r="C122" i="25"/>
  <c r="D122" i="25"/>
  <c r="F122" i="25"/>
  <c r="G122" i="25"/>
  <c r="H122" i="25"/>
  <c r="I122" i="25"/>
  <c r="J122" i="25"/>
  <c r="K122" i="25"/>
  <c r="M122" i="25"/>
  <c r="O122" i="25"/>
  <c r="P122" i="25"/>
  <c r="Q122" i="25"/>
  <c r="R122" i="25"/>
  <c r="S122" i="25"/>
  <c r="T122" i="25"/>
  <c r="U122" i="25"/>
  <c r="A123" i="25"/>
  <c r="B123" i="25"/>
  <c r="C123" i="25"/>
  <c r="D123" i="25"/>
  <c r="F123" i="25"/>
  <c r="G123" i="25"/>
  <c r="H123" i="25"/>
  <c r="I123" i="25"/>
  <c r="J123" i="25"/>
  <c r="K123" i="25"/>
  <c r="M123" i="25"/>
  <c r="O123" i="25"/>
  <c r="P123" i="25"/>
  <c r="Q123" i="25"/>
  <c r="R123" i="25"/>
  <c r="S123" i="25"/>
  <c r="T123" i="25"/>
  <c r="U123" i="25"/>
  <c r="A142" i="25"/>
  <c r="B142" i="25"/>
  <c r="C142" i="25"/>
  <c r="D142" i="25"/>
  <c r="F142" i="25"/>
  <c r="G142" i="25"/>
  <c r="H142" i="25"/>
  <c r="I142" i="25"/>
  <c r="J142" i="25"/>
  <c r="K142" i="25"/>
  <c r="M142" i="25"/>
  <c r="O142" i="25"/>
  <c r="P142" i="25"/>
  <c r="Q142" i="25"/>
  <c r="R142" i="25"/>
  <c r="S142" i="25"/>
  <c r="T142" i="25"/>
  <c r="U142" i="25"/>
  <c r="A155" i="25"/>
  <c r="B155" i="25"/>
  <c r="C155" i="25"/>
  <c r="D155" i="25"/>
  <c r="F155" i="25"/>
  <c r="G155" i="25"/>
  <c r="H155" i="25"/>
  <c r="I155" i="25"/>
  <c r="J155" i="25"/>
  <c r="K155" i="25"/>
  <c r="M155" i="25"/>
  <c r="O155" i="25"/>
  <c r="P155" i="25"/>
  <c r="Q155" i="25"/>
  <c r="R155" i="25"/>
  <c r="S155" i="25"/>
  <c r="T155" i="25"/>
  <c r="U155" i="25"/>
  <c r="A163" i="25"/>
  <c r="B163" i="25"/>
  <c r="C163" i="25"/>
  <c r="D163" i="25"/>
  <c r="F163" i="25"/>
  <c r="G163" i="25"/>
  <c r="H163" i="25"/>
  <c r="I163" i="25"/>
  <c r="J163" i="25"/>
  <c r="K163" i="25"/>
  <c r="M163" i="25"/>
  <c r="O163" i="25"/>
  <c r="Q163" i="25"/>
  <c r="R163" i="25"/>
  <c r="S163" i="25"/>
  <c r="T163" i="25"/>
  <c r="U163" i="25"/>
  <c r="A181" i="25"/>
  <c r="B181" i="25"/>
  <c r="C181" i="25"/>
  <c r="D181" i="25"/>
  <c r="F181" i="25"/>
  <c r="G181" i="25"/>
  <c r="H181" i="25"/>
  <c r="I181" i="25"/>
  <c r="J181" i="25"/>
  <c r="K181" i="25"/>
  <c r="M181" i="25"/>
  <c r="O181" i="25"/>
  <c r="P181" i="25"/>
  <c r="Q181" i="25"/>
  <c r="R181" i="25"/>
  <c r="S181" i="25"/>
  <c r="T181" i="25"/>
  <c r="U181" i="25"/>
  <c r="A197" i="25"/>
  <c r="B197" i="25"/>
  <c r="C197" i="25"/>
  <c r="D197" i="25"/>
  <c r="F197" i="25"/>
  <c r="G197" i="25"/>
  <c r="H197" i="25"/>
  <c r="I197" i="25"/>
  <c r="J197" i="25"/>
  <c r="K197" i="25"/>
  <c r="M197" i="25"/>
  <c r="O197" i="25"/>
  <c r="P197" i="25"/>
  <c r="Q197" i="25"/>
  <c r="R197" i="25"/>
  <c r="S197" i="25"/>
  <c r="T197" i="25"/>
  <c r="U197" i="25"/>
  <c r="A198" i="25"/>
  <c r="B198" i="25"/>
  <c r="C198" i="25"/>
  <c r="D198" i="25"/>
  <c r="F198" i="25"/>
  <c r="G198" i="25"/>
  <c r="H198" i="25"/>
  <c r="I198" i="25"/>
  <c r="J198" i="25"/>
  <c r="K198" i="25"/>
  <c r="L198" i="25"/>
  <c r="M198" i="25"/>
  <c r="O198" i="25"/>
  <c r="P198" i="25"/>
  <c r="Q198" i="25"/>
  <c r="R198" i="25"/>
  <c r="S198" i="25"/>
  <c r="T198" i="25"/>
  <c r="U198" i="25"/>
  <c r="A199" i="25"/>
  <c r="B199" i="25"/>
  <c r="C199" i="25"/>
  <c r="D199" i="25"/>
  <c r="F199" i="25"/>
  <c r="G199" i="25"/>
  <c r="H199" i="25"/>
  <c r="I199" i="25"/>
  <c r="J199" i="25"/>
  <c r="K199" i="25"/>
  <c r="M199" i="25"/>
  <c r="O199" i="25"/>
  <c r="P199" i="25"/>
  <c r="Q199" i="25"/>
  <c r="R199" i="25"/>
  <c r="S199" i="25"/>
  <c r="T199" i="25"/>
  <c r="U199" i="25"/>
  <c r="A200" i="25"/>
  <c r="B200" i="25"/>
  <c r="C200" i="25"/>
  <c r="D200" i="25"/>
  <c r="F200" i="25"/>
  <c r="G200" i="25"/>
  <c r="H200" i="25"/>
  <c r="I200" i="25"/>
  <c r="J200" i="25"/>
  <c r="K200" i="25"/>
  <c r="M200" i="25"/>
  <c r="O200" i="25"/>
  <c r="P200" i="25"/>
  <c r="Q200" i="25"/>
  <c r="R200" i="25"/>
  <c r="S200" i="25"/>
  <c r="T200" i="25"/>
  <c r="U200" i="25"/>
  <c r="A116" i="25"/>
  <c r="B116" i="25"/>
  <c r="C116" i="25"/>
  <c r="D116" i="25"/>
  <c r="F116" i="25"/>
  <c r="G116" i="25"/>
  <c r="H116" i="25"/>
  <c r="I116" i="25"/>
  <c r="J116" i="25"/>
  <c r="K116" i="25"/>
  <c r="M116" i="25"/>
  <c r="O116" i="25"/>
  <c r="P116" i="25"/>
  <c r="Q116" i="25"/>
  <c r="R116" i="25"/>
  <c r="S116" i="25"/>
  <c r="T116" i="25"/>
  <c r="U116" i="25"/>
  <c r="A153" i="25"/>
  <c r="B153" i="25"/>
  <c r="C153" i="25"/>
  <c r="D153" i="25"/>
  <c r="F153" i="25"/>
  <c r="G153" i="25"/>
  <c r="H153" i="25"/>
  <c r="I153" i="25"/>
  <c r="J153" i="25"/>
  <c r="K153" i="25"/>
  <c r="M153" i="25"/>
  <c r="O153" i="25"/>
  <c r="P153" i="25"/>
  <c r="Q153" i="25"/>
  <c r="R153" i="25"/>
  <c r="S153" i="25"/>
  <c r="T153" i="25"/>
  <c r="U153" i="25"/>
  <c r="A172" i="25"/>
  <c r="B172" i="25"/>
  <c r="C172" i="25"/>
  <c r="D172" i="25"/>
  <c r="F172" i="25"/>
  <c r="G172" i="25"/>
  <c r="H172" i="25"/>
  <c r="I172" i="25"/>
  <c r="J172" i="25"/>
  <c r="K172" i="25"/>
  <c r="M172" i="25"/>
  <c r="O172" i="25"/>
  <c r="P172" i="25"/>
  <c r="Q172" i="25"/>
  <c r="R172" i="25"/>
  <c r="S172" i="25"/>
  <c r="T172" i="25"/>
  <c r="U172" i="25"/>
  <c r="A224" i="25"/>
  <c r="B224" i="25"/>
  <c r="C224" i="25"/>
  <c r="D224" i="25"/>
  <c r="F224" i="25"/>
  <c r="G224" i="25"/>
  <c r="H224" i="25"/>
  <c r="I224" i="25"/>
  <c r="J224" i="25"/>
  <c r="K224" i="25"/>
  <c r="M224" i="25"/>
  <c r="O224" i="25"/>
  <c r="P224" i="25"/>
  <c r="Q224" i="25"/>
  <c r="R224" i="25"/>
  <c r="S224" i="25"/>
  <c r="T224" i="25"/>
  <c r="U224" i="25"/>
  <c r="A257" i="25"/>
  <c r="B257" i="25"/>
  <c r="C257" i="25"/>
  <c r="D257" i="25"/>
  <c r="F257" i="25"/>
  <c r="G257" i="25"/>
  <c r="H257" i="25"/>
  <c r="I257" i="25"/>
  <c r="J257" i="25"/>
  <c r="K257" i="25"/>
  <c r="M257" i="25"/>
  <c r="O257" i="25"/>
  <c r="P257" i="25"/>
  <c r="Q257" i="25"/>
  <c r="R257" i="25"/>
  <c r="S257" i="25"/>
  <c r="T257" i="25"/>
  <c r="U257" i="25"/>
  <c r="A83" i="25"/>
  <c r="B83" i="25"/>
  <c r="C83" i="25"/>
  <c r="D83" i="25"/>
  <c r="F83" i="25"/>
  <c r="G83" i="25"/>
  <c r="H83" i="25"/>
  <c r="I83" i="25"/>
  <c r="J83" i="25"/>
  <c r="K83" i="25"/>
  <c r="L83" i="25"/>
  <c r="M83" i="25"/>
  <c r="N83" i="25"/>
  <c r="O83" i="25"/>
  <c r="P83" i="25"/>
  <c r="Q83" i="25"/>
  <c r="R83" i="25"/>
  <c r="S83" i="25"/>
  <c r="T83" i="25"/>
  <c r="U83" i="25"/>
  <c r="A188" i="25"/>
  <c r="B188" i="25"/>
  <c r="C188" i="25"/>
  <c r="D188" i="25"/>
  <c r="F188" i="25"/>
  <c r="G188" i="25"/>
  <c r="H188" i="25"/>
  <c r="I188" i="25"/>
  <c r="J188" i="25"/>
  <c r="K188" i="25"/>
  <c r="M188" i="25"/>
  <c r="O188" i="25"/>
  <c r="P188" i="25"/>
  <c r="Q188" i="25"/>
  <c r="R188" i="25"/>
  <c r="S188" i="25"/>
  <c r="T188" i="25"/>
  <c r="U188" i="25"/>
  <c r="A225" i="25"/>
  <c r="B225" i="25"/>
  <c r="C225" i="25"/>
  <c r="D225" i="25"/>
  <c r="F225" i="25"/>
  <c r="G225" i="25"/>
  <c r="H225" i="25"/>
  <c r="I225" i="25"/>
  <c r="J225" i="25"/>
  <c r="K225" i="25"/>
  <c r="M225" i="25"/>
  <c r="O225" i="25"/>
  <c r="P225" i="25"/>
  <c r="Q225" i="25"/>
  <c r="R225" i="25"/>
  <c r="S225" i="25"/>
  <c r="T225" i="25"/>
  <c r="U225" i="25"/>
  <c r="A15" i="25"/>
  <c r="B15" i="25"/>
  <c r="C15" i="25"/>
  <c r="D15" i="25"/>
  <c r="F15" i="25"/>
  <c r="G15" i="25"/>
  <c r="H15" i="25"/>
  <c r="I15" i="25"/>
  <c r="J15" i="25"/>
  <c r="K15" i="25"/>
  <c r="M15" i="25"/>
  <c r="O15" i="25"/>
  <c r="P15" i="25"/>
  <c r="Q15" i="25"/>
  <c r="R15" i="25"/>
  <c r="T15" i="25"/>
  <c r="U15" i="25"/>
  <c r="A38" i="25"/>
  <c r="B38" i="25"/>
  <c r="C38" i="25"/>
  <c r="D38" i="25"/>
  <c r="F38" i="25"/>
  <c r="G38" i="25"/>
  <c r="H38" i="25"/>
  <c r="I38" i="25"/>
  <c r="J38" i="25"/>
  <c r="K38" i="25"/>
  <c r="M38" i="25"/>
  <c r="O38" i="25"/>
  <c r="P38" i="25"/>
  <c r="Q38" i="25"/>
  <c r="R38" i="25"/>
  <c r="S38" i="25"/>
  <c r="T38" i="25"/>
  <c r="U38" i="25"/>
  <c r="A60" i="25"/>
  <c r="B60" i="25"/>
  <c r="C60" i="25"/>
  <c r="D60" i="25"/>
  <c r="F60" i="25"/>
  <c r="G60" i="25"/>
  <c r="H60" i="25"/>
  <c r="I60" i="25"/>
  <c r="J60" i="25"/>
  <c r="K60" i="25"/>
  <c r="M60" i="25"/>
  <c r="O60" i="25"/>
  <c r="P60" i="25"/>
  <c r="Q60" i="25"/>
  <c r="R60" i="25"/>
  <c r="S60" i="25"/>
  <c r="T60" i="25"/>
  <c r="U60" i="25"/>
  <c r="A81" i="25"/>
  <c r="B81" i="25"/>
  <c r="C81" i="25"/>
  <c r="D81" i="25"/>
  <c r="F81" i="25"/>
  <c r="G81" i="25"/>
  <c r="H81" i="25"/>
  <c r="I81" i="25"/>
  <c r="J81" i="25"/>
  <c r="K81" i="25"/>
  <c r="M81" i="25"/>
  <c r="O81" i="25"/>
  <c r="P81" i="25"/>
  <c r="Q81" i="25"/>
  <c r="R81" i="25"/>
  <c r="S81" i="25"/>
  <c r="T81" i="25"/>
  <c r="U81" i="25"/>
  <c r="A86" i="25"/>
  <c r="B86" i="25"/>
  <c r="C86" i="25"/>
  <c r="D86" i="25"/>
  <c r="F86" i="25"/>
  <c r="G86" i="25"/>
  <c r="H86" i="25"/>
  <c r="I86" i="25"/>
  <c r="J86" i="25"/>
  <c r="K86" i="25"/>
  <c r="M86" i="25"/>
  <c r="O86" i="25"/>
  <c r="P86" i="25"/>
  <c r="Q86" i="25"/>
  <c r="R86" i="25"/>
  <c r="S86" i="25"/>
  <c r="T86" i="25"/>
  <c r="U86" i="25"/>
  <c r="A107" i="25"/>
  <c r="B107" i="25"/>
  <c r="C107" i="25"/>
  <c r="D107" i="25"/>
  <c r="F107" i="25"/>
  <c r="G107" i="25"/>
  <c r="H107" i="25"/>
  <c r="I107" i="25"/>
  <c r="J107" i="25"/>
  <c r="K107" i="25"/>
  <c r="M107" i="25"/>
  <c r="O107" i="25"/>
  <c r="P107" i="25"/>
  <c r="Q107" i="25"/>
  <c r="R107" i="25"/>
  <c r="S107" i="25"/>
  <c r="T107" i="25"/>
  <c r="U107" i="25"/>
  <c r="A117" i="25"/>
  <c r="B117" i="25"/>
  <c r="C117" i="25"/>
  <c r="D117" i="25"/>
  <c r="F117" i="25"/>
  <c r="G117" i="25"/>
  <c r="H117" i="25"/>
  <c r="I117" i="25"/>
  <c r="J117" i="25"/>
  <c r="K117" i="25"/>
  <c r="M117" i="25"/>
  <c r="O117" i="25"/>
  <c r="P117" i="25"/>
  <c r="Q117" i="25"/>
  <c r="R117" i="25"/>
  <c r="S117" i="25"/>
  <c r="T117" i="25"/>
  <c r="U117" i="25"/>
  <c r="A59" i="25"/>
  <c r="B59" i="25"/>
  <c r="C59" i="25"/>
  <c r="D59" i="25"/>
  <c r="F59" i="25"/>
  <c r="G59" i="25"/>
  <c r="H59" i="25"/>
  <c r="I59" i="25"/>
  <c r="J59" i="25"/>
  <c r="K59" i="25"/>
  <c r="M59" i="25"/>
  <c r="O59" i="25"/>
  <c r="P59" i="25"/>
  <c r="Q59" i="25"/>
  <c r="R59" i="25"/>
  <c r="S59" i="25"/>
  <c r="T59" i="25"/>
  <c r="U59" i="25"/>
  <c r="A33" i="25"/>
  <c r="B33" i="25"/>
  <c r="C33" i="25"/>
  <c r="D33" i="25"/>
  <c r="F33" i="25"/>
  <c r="G33" i="25"/>
  <c r="H33" i="25"/>
  <c r="I33" i="25"/>
  <c r="J33" i="25"/>
  <c r="K33" i="25"/>
  <c r="M33" i="25"/>
  <c r="N33" i="25"/>
  <c r="O33" i="25"/>
  <c r="P33" i="25"/>
  <c r="Q33" i="25"/>
  <c r="R33" i="25"/>
  <c r="S33" i="25"/>
  <c r="T33" i="25"/>
  <c r="U33" i="25"/>
  <c r="A247" i="25"/>
  <c r="B247" i="25"/>
  <c r="C247" i="25"/>
  <c r="D247" i="25"/>
  <c r="F247" i="25"/>
  <c r="G247" i="25"/>
  <c r="H247" i="25"/>
  <c r="I247" i="25"/>
  <c r="J247" i="25"/>
  <c r="K247" i="25"/>
  <c r="L247" i="25"/>
  <c r="M247" i="25"/>
  <c r="O247" i="25"/>
  <c r="P247" i="25"/>
  <c r="Q247" i="25"/>
  <c r="R247" i="25"/>
  <c r="S247" i="25"/>
  <c r="T247" i="25"/>
  <c r="U247" i="25"/>
  <c r="A264" i="25"/>
  <c r="B264" i="25"/>
  <c r="C264" i="25"/>
  <c r="D264" i="25"/>
  <c r="F264" i="25"/>
  <c r="G264" i="25"/>
  <c r="H264" i="25"/>
  <c r="I264" i="25"/>
  <c r="J264" i="25"/>
  <c r="K264" i="25"/>
  <c r="M264" i="25"/>
  <c r="N264" i="25"/>
  <c r="O264" i="25"/>
  <c r="P264" i="25"/>
  <c r="Q264" i="25"/>
  <c r="R264" i="25"/>
  <c r="S264" i="25"/>
  <c r="T264" i="25"/>
  <c r="U264" i="25"/>
  <c r="A351" i="25"/>
  <c r="B351" i="25"/>
  <c r="C351" i="25"/>
  <c r="D351" i="25"/>
  <c r="F351" i="25"/>
  <c r="G351" i="25"/>
  <c r="H351" i="25"/>
  <c r="I351" i="25"/>
  <c r="J351" i="25"/>
  <c r="K351" i="25"/>
  <c r="L351" i="25"/>
  <c r="M351" i="25"/>
  <c r="O351" i="25"/>
  <c r="P351" i="25"/>
  <c r="Q351" i="25"/>
  <c r="R351" i="25"/>
  <c r="S351" i="25"/>
  <c r="T351" i="25"/>
  <c r="U351" i="25"/>
  <c r="A352" i="25"/>
  <c r="B352" i="25"/>
  <c r="C352" i="25"/>
  <c r="D352" i="25"/>
  <c r="F352" i="25"/>
  <c r="G352" i="25"/>
  <c r="H352" i="25"/>
  <c r="I352" i="25"/>
  <c r="J352" i="25"/>
  <c r="K352" i="25"/>
  <c r="M352" i="25"/>
  <c r="O352" i="25"/>
  <c r="P352" i="25"/>
  <c r="Q352" i="25"/>
  <c r="R352" i="25"/>
  <c r="S352" i="25"/>
  <c r="T352" i="25"/>
  <c r="U352" i="25"/>
  <c r="A358" i="25"/>
  <c r="B358" i="25"/>
  <c r="C358" i="25"/>
  <c r="D358" i="25"/>
  <c r="F358" i="25"/>
  <c r="G358" i="25"/>
  <c r="H358" i="25"/>
  <c r="I358" i="25"/>
  <c r="J358" i="25"/>
  <c r="K358" i="25"/>
  <c r="M358" i="25"/>
  <c r="O358" i="25"/>
  <c r="P358" i="25"/>
  <c r="Q358" i="25"/>
  <c r="R358" i="25"/>
  <c r="S358" i="25"/>
  <c r="T358" i="25"/>
  <c r="U358" i="25"/>
  <c r="A32" i="25"/>
  <c r="B32" i="25"/>
  <c r="C32" i="25"/>
  <c r="D32" i="25"/>
  <c r="F32" i="25"/>
  <c r="G32" i="25"/>
  <c r="H32" i="25"/>
  <c r="I32" i="25"/>
  <c r="J32" i="25"/>
  <c r="K32" i="25"/>
  <c r="M32" i="25"/>
  <c r="N32" i="25"/>
  <c r="O32" i="25"/>
  <c r="Q32" i="25"/>
  <c r="R32" i="25"/>
  <c r="S32" i="25"/>
  <c r="T32" i="25"/>
  <c r="U32" i="25"/>
  <c r="A30" i="25"/>
  <c r="B30" i="25"/>
  <c r="C30" i="25"/>
  <c r="D30" i="25"/>
  <c r="F30" i="25"/>
  <c r="G30" i="25"/>
  <c r="H30" i="25"/>
  <c r="I30" i="25"/>
  <c r="J30" i="25"/>
  <c r="K30" i="25"/>
  <c r="M30" i="25"/>
  <c r="O30" i="25"/>
  <c r="P30" i="25"/>
  <c r="Q30" i="25"/>
  <c r="R30" i="25"/>
  <c r="S30" i="25"/>
  <c r="T30" i="25"/>
  <c r="U30" i="25"/>
  <c r="A31" i="25"/>
  <c r="B31" i="25"/>
  <c r="C31" i="25"/>
  <c r="D31" i="25"/>
  <c r="F31" i="25"/>
  <c r="G31" i="25"/>
  <c r="H31" i="25"/>
  <c r="I31" i="25"/>
  <c r="J31" i="25"/>
  <c r="K31" i="25"/>
  <c r="M31" i="25"/>
  <c r="N31" i="25"/>
  <c r="O31" i="25"/>
  <c r="Q31" i="25"/>
  <c r="R31" i="25"/>
  <c r="S31" i="25"/>
  <c r="T31" i="25"/>
  <c r="U31" i="25"/>
  <c r="A112" i="25"/>
  <c r="B112" i="25"/>
  <c r="C112" i="25"/>
  <c r="D112" i="25"/>
  <c r="F112" i="25"/>
  <c r="G112" i="25"/>
  <c r="H112" i="25"/>
  <c r="I112" i="25"/>
  <c r="J112" i="25"/>
  <c r="K112" i="25"/>
  <c r="L112" i="25"/>
  <c r="M112" i="25"/>
  <c r="N112" i="25"/>
  <c r="O112" i="25"/>
  <c r="P112" i="25"/>
  <c r="Q112" i="25"/>
  <c r="R112" i="25"/>
  <c r="S112" i="25"/>
  <c r="T112" i="25"/>
  <c r="U112" i="25"/>
  <c r="A140" i="25"/>
  <c r="B140" i="25"/>
  <c r="C140" i="25"/>
  <c r="D140" i="25"/>
  <c r="F140" i="25"/>
  <c r="G140" i="25"/>
  <c r="H140" i="25"/>
  <c r="I140" i="25"/>
  <c r="J140" i="25"/>
  <c r="K140" i="25"/>
  <c r="M140" i="25"/>
  <c r="N140" i="25"/>
  <c r="O140" i="25"/>
  <c r="P140" i="25"/>
  <c r="Q140" i="25"/>
  <c r="R140" i="25"/>
  <c r="S140" i="25"/>
  <c r="T140" i="25"/>
  <c r="U140" i="25"/>
  <c r="A235" i="25"/>
  <c r="B235" i="25"/>
  <c r="C235" i="25"/>
  <c r="D235" i="25"/>
  <c r="F235" i="25"/>
  <c r="G235" i="25"/>
  <c r="H235" i="25"/>
  <c r="I235" i="25"/>
  <c r="J235" i="25"/>
  <c r="K235" i="25"/>
  <c r="L235" i="25"/>
  <c r="M235" i="25"/>
  <c r="N235" i="25"/>
  <c r="O235" i="25"/>
  <c r="P235" i="25"/>
  <c r="Q235" i="25"/>
  <c r="R235" i="25"/>
  <c r="S235" i="25"/>
  <c r="T235" i="25"/>
  <c r="U235" i="25"/>
  <c r="A246" i="25"/>
  <c r="B246" i="25"/>
  <c r="C246" i="25"/>
  <c r="D246" i="25"/>
  <c r="F246" i="25"/>
  <c r="G246" i="25"/>
  <c r="H246" i="25"/>
  <c r="I246" i="25"/>
  <c r="J246" i="25"/>
  <c r="K246" i="25"/>
  <c r="L246" i="25"/>
  <c r="M246" i="25"/>
  <c r="O246" i="25"/>
  <c r="P246" i="25"/>
  <c r="Q246" i="25"/>
  <c r="R246" i="25"/>
  <c r="S246" i="25"/>
  <c r="T246" i="25"/>
  <c r="U246" i="25"/>
  <c r="A249" i="25"/>
  <c r="B249" i="25"/>
  <c r="C249" i="25"/>
  <c r="D249" i="25"/>
  <c r="F249" i="25"/>
  <c r="G249" i="25"/>
  <c r="H249" i="25"/>
  <c r="I249" i="25"/>
  <c r="J249" i="25"/>
  <c r="K249" i="25"/>
  <c r="L249" i="25"/>
  <c r="M249" i="25"/>
  <c r="O249" i="25"/>
  <c r="Q249" i="25"/>
  <c r="R249" i="25"/>
  <c r="S249" i="25"/>
  <c r="T249" i="25"/>
  <c r="U249" i="25"/>
  <c r="A250" i="25"/>
  <c r="B250" i="25"/>
  <c r="C250" i="25"/>
  <c r="D250" i="25"/>
  <c r="F250" i="25"/>
  <c r="G250" i="25"/>
  <c r="H250" i="25"/>
  <c r="I250" i="25"/>
  <c r="J250" i="25"/>
  <c r="K250" i="25"/>
  <c r="M250" i="25"/>
  <c r="O250" i="25"/>
  <c r="P250" i="25"/>
  <c r="Q250" i="25"/>
  <c r="R250" i="25"/>
  <c r="S250" i="25"/>
  <c r="T250" i="25"/>
  <c r="U250" i="25"/>
  <c r="A251" i="25"/>
  <c r="B251" i="25"/>
  <c r="C251" i="25"/>
  <c r="D251" i="25"/>
  <c r="F251" i="25"/>
  <c r="G251" i="25"/>
  <c r="H251" i="25"/>
  <c r="I251" i="25"/>
  <c r="J251" i="25"/>
  <c r="K251" i="25"/>
  <c r="M251" i="25"/>
  <c r="O251" i="25"/>
  <c r="P251" i="25"/>
  <c r="Q251" i="25"/>
  <c r="R251" i="25"/>
  <c r="S251" i="25"/>
  <c r="T251" i="25"/>
  <c r="U251" i="25"/>
  <c r="A311" i="25"/>
  <c r="B311" i="25"/>
  <c r="C311" i="25"/>
  <c r="D311" i="25"/>
  <c r="F311" i="25"/>
  <c r="G311" i="25"/>
  <c r="H311" i="25"/>
  <c r="I311" i="25"/>
  <c r="J311" i="25"/>
  <c r="K311" i="25"/>
  <c r="M311" i="25"/>
  <c r="O311" i="25"/>
  <c r="P311" i="25"/>
  <c r="Q311" i="25"/>
  <c r="R311" i="25"/>
  <c r="S311" i="25"/>
  <c r="T311" i="25"/>
  <c r="U311" i="25"/>
  <c r="A320" i="25"/>
  <c r="B320" i="25"/>
  <c r="C320" i="25"/>
  <c r="D320" i="25"/>
  <c r="F320" i="25"/>
  <c r="G320" i="25"/>
  <c r="H320" i="25"/>
  <c r="I320" i="25"/>
  <c r="J320" i="25"/>
  <c r="K320" i="25"/>
  <c r="M320" i="25"/>
  <c r="O320" i="25"/>
  <c r="Q320" i="25"/>
  <c r="R320" i="25"/>
  <c r="S320" i="25"/>
  <c r="T320" i="25"/>
  <c r="U320" i="25"/>
  <c r="A348" i="25"/>
  <c r="B348" i="25"/>
  <c r="C348" i="25"/>
  <c r="D348" i="25"/>
  <c r="F348" i="25"/>
  <c r="G348" i="25"/>
  <c r="H348" i="25"/>
  <c r="I348" i="25"/>
  <c r="J348" i="25"/>
  <c r="K348" i="25"/>
  <c r="M348" i="25"/>
  <c r="O348" i="25"/>
  <c r="P348" i="25"/>
  <c r="Q348" i="25"/>
  <c r="R348" i="25"/>
  <c r="S348" i="25"/>
  <c r="T348" i="25"/>
  <c r="U348" i="25"/>
  <c r="A349" i="25"/>
  <c r="B349" i="25"/>
  <c r="C349" i="25"/>
  <c r="D349" i="25"/>
  <c r="F349" i="25"/>
  <c r="G349" i="25"/>
  <c r="H349" i="25"/>
  <c r="I349" i="25"/>
  <c r="J349" i="25"/>
  <c r="K349" i="25"/>
  <c r="L349" i="25"/>
  <c r="M349" i="25"/>
  <c r="O349" i="25"/>
  <c r="P349" i="25"/>
  <c r="Q349" i="25"/>
  <c r="R349" i="25"/>
  <c r="S349" i="25"/>
  <c r="T349" i="25"/>
  <c r="U349" i="25"/>
  <c r="A350" i="25"/>
  <c r="B350" i="25"/>
  <c r="C350" i="25"/>
  <c r="D350" i="25"/>
  <c r="F350" i="25"/>
  <c r="G350" i="25"/>
  <c r="H350" i="25"/>
  <c r="I350" i="25"/>
  <c r="J350" i="25"/>
  <c r="K350" i="25"/>
  <c r="M350" i="25"/>
  <c r="O350" i="25"/>
  <c r="P350" i="25"/>
  <c r="Q350" i="25"/>
  <c r="R350" i="25"/>
  <c r="S350" i="25"/>
  <c r="T350" i="25"/>
  <c r="U350" i="25"/>
  <c r="A362" i="25"/>
  <c r="B362" i="25"/>
  <c r="C362" i="25"/>
  <c r="D362" i="25"/>
  <c r="F362" i="25"/>
  <c r="G362" i="25"/>
  <c r="H362" i="25"/>
  <c r="I362" i="25"/>
  <c r="J362" i="25"/>
  <c r="K362" i="25"/>
  <c r="M362" i="25"/>
  <c r="O362" i="25"/>
  <c r="P362" i="25"/>
  <c r="Q362" i="25"/>
  <c r="R362" i="25"/>
  <c r="S362" i="25"/>
  <c r="T362" i="25"/>
  <c r="U362" i="25"/>
  <c r="A366" i="25"/>
  <c r="B366" i="25"/>
  <c r="C366" i="25"/>
  <c r="D366" i="25"/>
  <c r="F366" i="25"/>
  <c r="G366" i="25"/>
  <c r="H366" i="25"/>
  <c r="I366" i="25"/>
  <c r="J366" i="25"/>
  <c r="K366" i="25"/>
  <c r="M366" i="25"/>
  <c r="O366" i="25"/>
  <c r="P366" i="25"/>
  <c r="Q366" i="25"/>
  <c r="R366" i="25"/>
  <c r="S366" i="25"/>
  <c r="T366" i="25"/>
  <c r="U366" i="25"/>
  <c r="A376" i="25"/>
  <c r="B376" i="25"/>
  <c r="C376" i="25"/>
  <c r="D376" i="25"/>
  <c r="F376" i="25"/>
  <c r="G376" i="25"/>
  <c r="H376" i="25"/>
  <c r="I376" i="25"/>
  <c r="J376" i="25"/>
  <c r="K376" i="25"/>
  <c r="M376" i="25"/>
  <c r="O376" i="25"/>
  <c r="P376" i="25"/>
  <c r="Q376" i="25"/>
  <c r="R376" i="25"/>
  <c r="S376" i="25"/>
  <c r="T376" i="25"/>
  <c r="U376" i="25"/>
  <c r="A12" i="25"/>
  <c r="B12" i="25"/>
  <c r="C12" i="25"/>
  <c r="D12" i="25"/>
  <c r="F12" i="25"/>
  <c r="G12" i="25"/>
  <c r="H12" i="25"/>
  <c r="I12" i="25"/>
  <c r="J12" i="25"/>
  <c r="K12" i="25"/>
  <c r="M12" i="25"/>
  <c r="O12" i="25"/>
  <c r="P12" i="25"/>
  <c r="Q12" i="25"/>
  <c r="R12" i="25"/>
  <c r="S12" i="25"/>
  <c r="T12" i="25"/>
  <c r="U12" i="25"/>
  <c r="A304" i="25"/>
  <c r="B304" i="25"/>
  <c r="C304" i="25"/>
  <c r="D304" i="25"/>
  <c r="F304" i="25"/>
  <c r="G304" i="25"/>
  <c r="H304" i="25"/>
  <c r="I304" i="25"/>
  <c r="J304" i="25"/>
  <c r="K304" i="25"/>
  <c r="L304" i="25"/>
  <c r="M304" i="25"/>
  <c r="N304" i="25"/>
  <c r="O304" i="25"/>
  <c r="P304" i="25"/>
  <c r="Q304" i="25"/>
  <c r="R304" i="25"/>
  <c r="S304" i="25"/>
  <c r="T304" i="25"/>
  <c r="U304" i="25"/>
  <c r="A305" i="25"/>
  <c r="B305" i="25"/>
  <c r="C305" i="25"/>
  <c r="D305" i="25"/>
  <c r="F305" i="25"/>
  <c r="G305" i="25"/>
  <c r="H305" i="25"/>
  <c r="I305" i="25"/>
  <c r="J305" i="25"/>
  <c r="K305" i="25"/>
  <c r="M305" i="25"/>
  <c r="O305" i="25"/>
  <c r="P305" i="25"/>
  <c r="Q305" i="25"/>
  <c r="R305" i="25"/>
  <c r="S305" i="25"/>
  <c r="T305" i="25"/>
  <c r="U305" i="25"/>
  <c r="A312" i="25"/>
  <c r="B312" i="25"/>
  <c r="C312" i="25"/>
  <c r="D312" i="25"/>
  <c r="F312" i="25"/>
  <c r="G312" i="25"/>
  <c r="H312" i="25"/>
  <c r="I312" i="25"/>
  <c r="J312" i="25"/>
  <c r="K312" i="25"/>
  <c r="M312" i="25"/>
  <c r="O312" i="25"/>
  <c r="P312" i="25"/>
  <c r="Q312" i="25"/>
  <c r="R312" i="25"/>
  <c r="S312" i="25"/>
  <c r="T312" i="25"/>
  <c r="U312" i="25"/>
  <c r="A319" i="25"/>
  <c r="B319" i="25"/>
  <c r="C319" i="25"/>
  <c r="D319" i="25"/>
  <c r="F319" i="25"/>
  <c r="G319" i="25"/>
  <c r="H319" i="25"/>
  <c r="I319" i="25"/>
  <c r="J319" i="25"/>
  <c r="K319" i="25"/>
  <c r="M319" i="25"/>
  <c r="O319" i="25"/>
  <c r="P319" i="25"/>
  <c r="Q319" i="25"/>
  <c r="R319" i="25"/>
  <c r="S319" i="25"/>
  <c r="T319" i="25"/>
  <c r="U319" i="25"/>
  <c r="A347" i="25"/>
  <c r="B347" i="25"/>
  <c r="C347" i="25"/>
  <c r="D347" i="25"/>
  <c r="F347" i="25"/>
  <c r="G347" i="25"/>
  <c r="H347" i="25"/>
  <c r="I347" i="25"/>
  <c r="J347" i="25"/>
  <c r="K347" i="25"/>
  <c r="L347" i="25"/>
  <c r="M347" i="25"/>
  <c r="O347" i="25"/>
  <c r="P347" i="25"/>
  <c r="Q347" i="25"/>
  <c r="R347" i="25"/>
  <c r="S347" i="25"/>
  <c r="T347" i="25"/>
  <c r="U347" i="25"/>
  <c r="A384" i="25"/>
  <c r="B384" i="25"/>
  <c r="C384" i="25"/>
  <c r="D384" i="25"/>
  <c r="F384" i="25"/>
  <c r="G384" i="25"/>
  <c r="H384" i="25"/>
  <c r="I384" i="25"/>
  <c r="J384" i="25"/>
  <c r="K384" i="25"/>
  <c r="M384" i="25"/>
  <c r="O384" i="25"/>
  <c r="Q384" i="25"/>
  <c r="R384" i="25"/>
  <c r="S384" i="25"/>
  <c r="T384" i="25"/>
  <c r="U384" i="25"/>
  <c r="A399" i="25"/>
  <c r="B399" i="25"/>
  <c r="C399" i="25"/>
  <c r="D399" i="25"/>
  <c r="F399" i="25"/>
  <c r="G399" i="25"/>
  <c r="H399" i="25"/>
  <c r="I399" i="25"/>
  <c r="J399" i="25"/>
  <c r="K399" i="25"/>
  <c r="M399" i="25"/>
  <c r="O399" i="25"/>
  <c r="P399" i="25"/>
  <c r="Q399" i="25"/>
  <c r="R399" i="25"/>
  <c r="S399" i="25"/>
  <c r="T399" i="25"/>
  <c r="U399" i="25"/>
  <c r="A45" i="25"/>
  <c r="B45" i="25"/>
  <c r="C45" i="25"/>
  <c r="D45" i="25"/>
  <c r="F45" i="25"/>
  <c r="G45" i="25"/>
  <c r="H45" i="25"/>
  <c r="I45" i="25"/>
  <c r="J45" i="25"/>
  <c r="K45" i="25"/>
  <c r="L45" i="25"/>
  <c r="M45" i="25"/>
  <c r="N45" i="25"/>
  <c r="O45" i="25"/>
  <c r="P45" i="25"/>
  <c r="Q45" i="25"/>
  <c r="R45" i="25"/>
  <c r="S45" i="25"/>
  <c r="T45" i="25"/>
  <c r="U45" i="25"/>
  <c r="A46" i="25"/>
  <c r="B46" i="25"/>
  <c r="C46" i="25"/>
  <c r="D46" i="25"/>
  <c r="F46" i="25"/>
  <c r="G46" i="25"/>
  <c r="H46" i="25"/>
  <c r="I46" i="25"/>
  <c r="J46" i="25"/>
  <c r="K46" i="25"/>
  <c r="M46" i="25"/>
  <c r="N46" i="25"/>
  <c r="O46" i="25"/>
  <c r="P46" i="25"/>
  <c r="Q46" i="25"/>
  <c r="R46" i="25"/>
  <c r="S46" i="25"/>
  <c r="T46" i="25"/>
  <c r="U46" i="25"/>
  <c r="A67" i="25"/>
  <c r="B67" i="25"/>
  <c r="C67" i="25"/>
  <c r="D67" i="25"/>
  <c r="F67" i="25"/>
  <c r="G67" i="25"/>
  <c r="H67" i="25"/>
  <c r="I67" i="25"/>
  <c r="J67" i="25"/>
  <c r="K67" i="25"/>
  <c r="L67" i="25"/>
  <c r="M67" i="25"/>
  <c r="N67" i="25"/>
  <c r="O67" i="25"/>
  <c r="Q67" i="25"/>
  <c r="R67" i="25"/>
  <c r="T67" i="25"/>
  <c r="U67" i="25"/>
  <c r="A69" i="25"/>
  <c r="B69" i="25"/>
  <c r="C69" i="25"/>
  <c r="D69" i="25"/>
  <c r="F69" i="25"/>
  <c r="G69" i="25"/>
  <c r="H69" i="25"/>
  <c r="I69" i="25"/>
  <c r="J69" i="25"/>
  <c r="K69" i="25"/>
  <c r="M69" i="25"/>
  <c r="O69" i="25"/>
  <c r="P69" i="25"/>
  <c r="Q69" i="25"/>
  <c r="R69" i="25"/>
  <c r="S69" i="25"/>
  <c r="T69" i="25"/>
  <c r="U69" i="25"/>
  <c r="A85" i="25"/>
  <c r="B85" i="25"/>
  <c r="C85" i="25"/>
  <c r="D85" i="25"/>
  <c r="F85" i="25"/>
  <c r="G85" i="25"/>
  <c r="H85" i="25"/>
  <c r="I85" i="25"/>
  <c r="J85" i="25"/>
  <c r="K85" i="25"/>
  <c r="M85" i="25"/>
  <c r="O85" i="25"/>
  <c r="P85" i="25"/>
  <c r="Q85" i="25"/>
  <c r="R85" i="25"/>
  <c r="S85" i="25"/>
  <c r="T85" i="25"/>
  <c r="U85" i="25"/>
  <c r="A106" i="25"/>
  <c r="B106" i="25"/>
  <c r="C106" i="25"/>
  <c r="D106" i="25"/>
  <c r="F106" i="25"/>
  <c r="G106" i="25"/>
  <c r="H106" i="25"/>
  <c r="I106" i="25"/>
  <c r="J106" i="25"/>
  <c r="K106" i="25"/>
  <c r="L106" i="25"/>
  <c r="M106" i="25"/>
  <c r="O106" i="25"/>
  <c r="Q106" i="25"/>
  <c r="R106" i="25"/>
  <c r="S106" i="25"/>
  <c r="T106" i="25"/>
  <c r="U106" i="25"/>
  <c r="A151" i="25"/>
  <c r="B151" i="25"/>
  <c r="C151" i="25"/>
  <c r="D151" i="25"/>
  <c r="F151" i="25"/>
  <c r="G151" i="25"/>
  <c r="H151" i="25"/>
  <c r="I151" i="25"/>
  <c r="J151" i="25"/>
  <c r="K151" i="25"/>
  <c r="L151" i="25"/>
  <c r="M151" i="25"/>
  <c r="N151" i="25"/>
  <c r="O151" i="25"/>
  <c r="P151" i="25"/>
  <c r="Q151" i="25"/>
  <c r="R151" i="25"/>
  <c r="S151" i="25"/>
  <c r="T151" i="25"/>
  <c r="U151" i="25"/>
  <c r="A152" i="25"/>
  <c r="B152" i="25"/>
  <c r="C152" i="25"/>
  <c r="D152" i="25"/>
  <c r="F152" i="25"/>
  <c r="G152" i="25"/>
  <c r="H152" i="25"/>
  <c r="I152" i="25"/>
  <c r="J152" i="25"/>
  <c r="K152" i="25"/>
  <c r="L152" i="25"/>
  <c r="M152" i="25"/>
  <c r="N152" i="25"/>
  <c r="O152" i="25"/>
  <c r="P152" i="25"/>
  <c r="Q152" i="25"/>
  <c r="R152" i="25"/>
  <c r="S152" i="25"/>
  <c r="T152" i="25"/>
  <c r="U152" i="25"/>
  <c r="A176" i="25"/>
  <c r="B176" i="25"/>
  <c r="C176" i="25"/>
  <c r="D176" i="25"/>
  <c r="F176" i="25"/>
  <c r="G176" i="25"/>
  <c r="H176" i="25"/>
  <c r="I176" i="25"/>
  <c r="J176" i="25"/>
  <c r="K176" i="25"/>
  <c r="L176" i="25"/>
  <c r="M176" i="25"/>
  <c r="O176" i="25"/>
  <c r="P176" i="25"/>
  <c r="Q176" i="25"/>
  <c r="R176" i="25"/>
  <c r="S176" i="25"/>
  <c r="T176" i="25"/>
  <c r="U176" i="25"/>
  <c r="A206" i="25"/>
  <c r="B206" i="25"/>
  <c r="C206" i="25"/>
  <c r="D206" i="25"/>
  <c r="F206" i="25"/>
  <c r="G206" i="25"/>
  <c r="H206" i="25"/>
  <c r="I206" i="25"/>
  <c r="J206" i="25"/>
  <c r="K206" i="25"/>
  <c r="M206" i="25"/>
  <c r="O206" i="25"/>
  <c r="P206" i="25"/>
  <c r="Q206" i="25"/>
  <c r="R206" i="25"/>
  <c r="S206" i="25"/>
  <c r="T206" i="25"/>
  <c r="U206" i="25"/>
  <c r="A223" i="25"/>
  <c r="B223" i="25"/>
  <c r="C223" i="25"/>
  <c r="D223" i="25"/>
  <c r="F223" i="25"/>
  <c r="G223" i="25"/>
  <c r="H223" i="25"/>
  <c r="I223" i="25"/>
  <c r="J223" i="25"/>
  <c r="K223" i="25"/>
  <c r="L223" i="25"/>
  <c r="M223" i="25"/>
  <c r="O223" i="25"/>
  <c r="P223" i="25"/>
  <c r="Q223" i="25"/>
  <c r="R223" i="25"/>
  <c r="S223" i="25"/>
  <c r="T223" i="25"/>
  <c r="U223" i="25"/>
  <c r="A280" i="25"/>
  <c r="B280" i="25"/>
  <c r="C280" i="25"/>
  <c r="D280" i="25"/>
  <c r="F280" i="25"/>
  <c r="G280" i="25"/>
  <c r="H280" i="25"/>
  <c r="I280" i="25"/>
  <c r="J280" i="25"/>
  <c r="K280" i="25"/>
  <c r="M280" i="25"/>
  <c r="N280" i="25"/>
  <c r="O280" i="25"/>
  <c r="P280" i="25"/>
  <c r="Q280" i="25"/>
  <c r="R280" i="25"/>
  <c r="S280" i="25"/>
  <c r="T280" i="25"/>
  <c r="U280" i="25"/>
  <c r="A281" i="25"/>
  <c r="B281" i="25"/>
  <c r="C281" i="25"/>
  <c r="D281" i="25"/>
  <c r="F281" i="25"/>
  <c r="G281" i="25"/>
  <c r="H281" i="25"/>
  <c r="I281" i="25"/>
  <c r="J281" i="25"/>
  <c r="K281" i="25"/>
  <c r="M281" i="25"/>
  <c r="O281" i="25"/>
  <c r="P281" i="25"/>
  <c r="Q281" i="25"/>
  <c r="R281" i="25"/>
  <c r="S281" i="25"/>
  <c r="T281" i="25"/>
  <c r="U281" i="25"/>
  <c r="A11" i="25"/>
  <c r="B11" i="25"/>
  <c r="C11" i="25"/>
  <c r="D11" i="25"/>
  <c r="F11" i="25"/>
  <c r="G11" i="25"/>
  <c r="H11" i="25"/>
  <c r="I11" i="25"/>
  <c r="J11" i="25"/>
  <c r="K11" i="25"/>
  <c r="M11" i="25"/>
  <c r="N11" i="25"/>
  <c r="O11" i="25"/>
  <c r="P11" i="25"/>
  <c r="Q11" i="25"/>
  <c r="R11" i="25"/>
  <c r="S11" i="25"/>
  <c r="T11" i="25"/>
  <c r="U11" i="25"/>
  <c r="A367" i="25"/>
  <c r="B367" i="25"/>
  <c r="C367" i="25"/>
  <c r="D367" i="25"/>
  <c r="F367" i="25"/>
  <c r="G367" i="25"/>
  <c r="H367" i="25"/>
  <c r="I367" i="25"/>
  <c r="J367" i="25"/>
  <c r="K367" i="25"/>
  <c r="L367" i="25"/>
  <c r="M367" i="25"/>
  <c r="O367" i="25"/>
  <c r="P367" i="25"/>
  <c r="Q367" i="25"/>
  <c r="R367" i="25"/>
  <c r="S367" i="25"/>
  <c r="T367" i="25"/>
  <c r="U367" i="25"/>
  <c r="A368" i="25"/>
  <c r="B368" i="25"/>
  <c r="C368" i="25"/>
  <c r="D368" i="25"/>
  <c r="F368" i="25"/>
  <c r="G368" i="25"/>
  <c r="H368" i="25"/>
  <c r="I368" i="25"/>
  <c r="J368" i="25"/>
  <c r="K368" i="25"/>
  <c r="M368" i="25"/>
  <c r="O368" i="25"/>
  <c r="P368" i="25"/>
  <c r="Q368" i="25"/>
  <c r="R368" i="25"/>
  <c r="S368" i="25"/>
  <c r="T368" i="25"/>
  <c r="U368" i="25"/>
  <c r="A369" i="25"/>
  <c r="B369" i="25"/>
  <c r="C369" i="25"/>
  <c r="D369" i="25"/>
  <c r="F369" i="25"/>
  <c r="G369" i="25"/>
  <c r="H369" i="25"/>
  <c r="I369" i="25"/>
  <c r="J369" i="25"/>
  <c r="K369" i="25"/>
  <c r="M369" i="25"/>
  <c r="O369" i="25"/>
  <c r="P369" i="25"/>
  <c r="Q369" i="25"/>
  <c r="R369" i="25"/>
  <c r="S369" i="25"/>
  <c r="T369" i="25"/>
  <c r="U369" i="25"/>
  <c r="A370" i="25"/>
  <c r="B370" i="25"/>
  <c r="C370" i="25"/>
  <c r="D370" i="25"/>
  <c r="F370" i="25"/>
  <c r="G370" i="25"/>
  <c r="H370" i="25"/>
  <c r="I370" i="25"/>
  <c r="J370" i="25"/>
  <c r="K370" i="25"/>
  <c r="L370" i="25"/>
  <c r="M370" i="25"/>
  <c r="N370" i="25"/>
  <c r="O370" i="25"/>
  <c r="P370" i="25"/>
  <c r="Q370" i="25"/>
  <c r="R370" i="25"/>
  <c r="S370" i="25"/>
  <c r="T370" i="25"/>
  <c r="U370" i="25"/>
  <c r="A374" i="25"/>
  <c r="B374" i="25"/>
  <c r="C374" i="25"/>
  <c r="D374" i="25"/>
  <c r="F374" i="25"/>
  <c r="G374" i="25"/>
  <c r="H374" i="25"/>
  <c r="I374" i="25"/>
  <c r="J374" i="25"/>
  <c r="K374" i="25"/>
  <c r="L374" i="25"/>
  <c r="M374" i="25"/>
  <c r="N374" i="25"/>
  <c r="O374" i="25"/>
  <c r="P374" i="25"/>
  <c r="Q374" i="25"/>
  <c r="R374" i="25"/>
  <c r="S374" i="25"/>
  <c r="T374" i="25"/>
  <c r="U374" i="25"/>
  <c r="A375" i="25"/>
  <c r="B375" i="25"/>
  <c r="C375" i="25"/>
  <c r="D375" i="25"/>
  <c r="F375" i="25"/>
  <c r="G375" i="25"/>
  <c r="H375" i="25"/>
  <c r="I375" i="25"/>
  <c r="J375" i="25"/>
  <c r="K375" i="25"/>
  <c r="M375" i="25"/>
  <c r="O375" i="25"/>
  <c r="P375" i="25"/>
  <c r="Q375" i="25"/>
  <c r="R375" i="25"/>
  <c r="S375" i="25"/>
  <c r="T375" i="25"/>
  <c r="U375" i="25"/>
  <c r="A378" i="25"/>
  <c r="B378" i="25"/>
  <c r="C378" i="25"/>
  <c r="D378" i="25"/>
  <c r="F378" i="25"/>
  <c r="G378" i="25"/>
  <c r="H378" i="25"/>
  <c r="I378" i="25"/>
  <c r="J378" i="25"/>
  <c r="K378" i="25"/>
  <c r="L378" i="25"/>
  <c r="M378" i="25"/>
  <c r="N378" i="25"/>
  <c r="O378" i="25"/>
  <c r="P378" i="25"/>
  <c r="Q378" i="25"/>
  <c r="R378" i="25"/>
  <c r="S378" i="25"/>
  <c r="T378" i="25"/>
  <c r="U378" i="25"/>
  <c r="A380" i="25"/>
  <c r="B380" i="25"/>
  <c r="C380" i="25"/>
  <c r="D380" i="25"/>
  <c r="F380" i="25"/>
  <c r="G380" i="25"/>
  <c r="H380" i="25"/>
  <c r="I380" i="25"/>
  <c r="J380" i="25"/>
  <c r="K380" i="25"/>
  <c r="M380" i="25"/>
  <c r="N380" i="25"/>
  <c r="O380" i="25"/>
  <c r="P380" i="25"/>
  <c r="Q380" i="25"/>
  <c r="R380" i="25"/>
  <c r="S380" i="25"/>
  <c r="T380" i="25"/>
  <c r="U380" i="25"/>
  <c r="A381" i="25"/>
  <c r="B381" i="25"/>
  <c r="C381" i="25"/>
  <c r="D381" i="25"/>
  <c r="F381" i="25"/>
  <c r="G381" i="25"/>
  <c r="H381" i="25"/>
  <c r="I381" i="25"/>
  <c r="J381" i="25"/>
  <c r="K381" i="25"/>
  <c r="L381" i="25"/>
  <c r="M381" i="25"/>
  <c r="O381" i="25"/>
  <c r="P381" i="25"/>
  <c r="Q381" i="25"/>
  <c r="R381" i="25"/>
  <c r="S381" i="25"/>
  <c r="T381" i="25"/>
  <c r="U381" i="25"/>
  <c r="A383" i="25"/>
  <c r="B383" i="25"/>
  <c r="C383" i="25"/>
  <c r="D383" i="25"/>
  <c r="F383" i="25"/>
  <c r="G383" i="25"/>
  <c r="H383" i="25"/>
  <c r="I383" i="25"/>
  <c r="J383" i="25"/>
  <c r="K383" i="25"/>
  <c r="M383" i="25"/>
  <c r="O383" i="25"/>
  <c r="P383" i="25"/>
  <c r="Q383" i="25"/>
  <c r="R383" i="25"/>
  <c r="S383" i="25"/>
  <c r="T383" i="25"/>
  <c r="U383" i="25"/>
  <c r="A391" i="25"/>
  <c r="B391" i="25"/>
  <c r="C391" i="25"/>
  <c r="D391" i="25"/>
  <c r="F391" i="25"/>
  <c r="G391" i="25"/>
  <c r="H391" i="25"/>
  <c r="I391" i="25"/>
  <c r="J391" i="25"/>
  <c r="K391" i="25"/>
  <c r="L391" i="25"/>
  <c r="M391" i="25"/>
  <c r="O391" i="25"/>
  <c r="P391" i="25"/>
  <c r="Q391" i="25"/>
  <c r="R391" i="25"/>
  <c r="S391" i="25"/>
  <c r="T391" i="25"/>
  <c r="U391" i="25"/>
  <c r="A392" i="25"/>
  <c r="B392" i="25"/>
  <c r="C392" i="25"/>
  <c r="D392" i="25"/>
  <c r="F392" i="25"/>
  <c r="G392" i="25"/>
  <c r="H392" i="25"/>
  <c r="I392" i="25"/>
  <c r="J392" i="25"/>
  <c r="K392" i="25"/>
  <c r="M392" i="25"/>
  <c r="O392" i="25"/>
  <c r="P392" i="25"/>
  <c r="Q392" i="25"/>
  <c r="R392" i="25"/>
  <c r="S392" i="25"/>
  <c r="T392" i="25"/>
  <c r="U392" i="25"/>
  <c r="A393" i="25"/>
  <c r="B393" i="25"/>
  <c r="C393" i="25"/>
  <c r="D393" i="25"/>
  <c r="F393" i="25"/>
  <c r="G393" i="25"/>
  <c r="H393" i="25"/>
  <c r="I393" i="25"/>
  <c r="J393" i="25"/>
  <c r="K393" i="25"/>
  <c r="L393" i="25"/>
  <c r="M393" i="25"/>
  <c r="O393" i="25"/>
  <c r="P393" i="25"/>
  <c r="Q393" i="25"/>
  <c r="R393" i="25"/>
  <c r="S393" i="25"/>
  <c r="T393" i="25"/>
  <c r="U393" i="25"/>
  <c r="A398" i="25"/>
  <c r="B398" i="25"/>
  <c r="C398" i="25"/>
  <c r="D398" i="25"/>
  <c r="F398" i="25"/>
  <c r="G398" i="25"/>
  <c r="H398" i="25"/>
  <c r="I398" i="25"/>
  <c r="J398" i="25"/>
  <c r="K398" i="25"/>
  <c r="M398" i="25"/>
  <c r="N398" i="25"/>
  <c r="O398" i="25"/>
  <c r="P398" i="25"/>
  <c r="Q398" i="25"/>
  <c r="R398" i="25"/>
  <c r="S398" i="25"/>
  <c r="T398" i="25"/>
  <c r="U398" i="25"/>
  <c r="A402" i="25"/>
  <c r="B402" i="25"/>
  <c r="C402" i="25"/>
  <c r="D402" i="25"/>
  <c r="F402" i="25"/>
  <c r="G402" i="25"/>
  <c r="H402" i="25"/>
  <c r="I402" i="25"/>
  <c r="J402" i="25"/>
  <c r="K402" i="25"/>
  <c r="M402" i="25"/>
  <c r="O402" i="25"/>
  <c r="P402" i="25"/>
  <c r="Q402" i="25"/>
  <c r="R402" i="25"/>
  <c r="S402" i="25"/>
  <c r="T402" i="25"/>
  <c r="U402" i="25"/>
  <c r="A166" i="25"/>
  <c r="B166" i="25"/>
  <c r="C166" i="25"/>
  <c r="D166" i="25"/>
  <c r="F166" i="25"/>
  <c r="G166" i="25"/>
  <c r="H166" i="25"/>
  <c r="I166" i="25"/>
  <c r="J166" i="25"/>
  <c r="K166" i="25"/>
  <c r="M166" i="25"/>
  <c r="N166" i="25"/>
  <c r="O166" i="25"/>
  <c r="Q166" i="25"/>
  <c r="R166" i="25"/>
  <c r="S166" i="25"/>
  <c r="T166" i="25"/>
  <c r="U166" i="25"/>
  <c r="A175" i="25"/>
  <c r="B175" i="25"/>
  <c r="C175" i="25"/>
  <c r="D175" i="25"/>
  <c r="F175" i="25"/>
  <c r="G175" i="25"/>
  <c r="H175" i="25"/>
  <c r="I175" i="25"/>
  <c r="J175" i="25"/>
  <c r="K175" i="25"/>
  <c r="L175" i="25"/>
  <c r="M175" i="25"/>
  <c r="N175" i="25"/>
  <c r="O175" i="25"/>
  <c r="P175" i="25"/>
  <c r="Q175" i="25"/>
  <c r="R175" i="25"/>
  <c r="S175" i="25"/>
  <c r="T175" i="25"/>
  <c r="U175" i="25"/>
  <c r="A205" i="25"/>
  <c r="B205" i="25"/>
  <c r="C205" i="25"/>
  <c r="D205" i="25"/>
  <c r="F205" i="25"/>
  <c r="G205" i="25"/>
  <c r="H205" i="25"/>
  <c r="I205" i="25"/>
  <c r="J205" i="25"/>
  <c r="K205" i="25"/>
  <c r="M205" i="25"/>
  <c r="N205" i="25"/>
  <c r="O205" i="25"/>
  <c r="Q205" i="25"/>
  <c r="R205" i="25"/>
  <c r="S205" i="25"/>
  <c r="T205" i="25"/>
  <c r="U205" i="25"/>
  <c r="A220" i="25"/>
  <c r="B220" i="25"/>
  <c r="C220" i="25"/>
  <c r="D220" i="25"/>
  <c r="F220" i="25"/>
  <c r="G220" i="25"/>
  <c r="H220" i="25"/>
  <c r="I220" i="25"/>
  <c r="J220" i="25"/>
  <c r="K220" i="25"/>
  <c r="L220" i="25"/>
  <c r="M220" i="25"/>
  <c r="N220" i="25"/>
  <c r="O220" i="25"/>
  <c r="P220" i="25"/>
  <c r="Q220" i="25"/>
  <c r="R220" i="25"/>
  <c r="S220" i="25"/>
  <c r="T220" i="25"/>
  <c r="U220" i="25"/>
  <c r="A221" i="25"/>
  <c r="B221" i="25"/>
  <c r="C221" i="25"/>
  <c r="D221" i="25"/>
  <c r="F221" i="25"/>
  <c r="G221" i="25"/>
  <c r="H221" i="25"/>
  <c r="I221" i="25"/>
  <c r="J221" i="25"/>
  <c r="K221" i="25"/>
  <c r="L221" i="25"/>
  <c r="M221" i="25"/>
  <c r="N221" i="25"/>
  <c r="O221" i="25"/>
  <c r="P221" i="25"/>
  <c r="Q221" i="25"/>
  <c r="R221" i="25"/>
  <c r="S221" i="25"/>
  <c r="T221" i="25"/>
  <c r="U221" i="25"/>
  <c r="A234" i="25"/>
  <c r="B234" i="25"/>
  <c r="C234" i="25"/>
  <c r="D234" i="25"/>
  <c r="F234" i="25"/>
  <c r="G234" i="25"/>
  <c r="H234" i="25"/>
  <c r="I234" i="25"/>
  <c r="J234" i="25"/>
  <c r="K234" i="25"/>
  <c r="L234" i="25"/>
  <c r="M234" i="25"/>
  <c r="N234" i="25"/>
  <c r="O234" i="25"/>
  <c r="P234" i="25"/>
  <c r="Q234" i="25"/>
  <c r="R234" i="25"/>
  <c r="S234" i="25"/>
  <c r="T234" i="25"/>
  <c r="U234" i="25"/>
  <c r="A248" i="25"/>
  <c r="B248" i="25"/>
  <c r="C248" i="25"/>
  <c r="D248" i="25"/>
  <c r="F248" i="25"/>
  <c r="G248" i="25"/>
  <c r="H248" i="25"/>
  <c r="I248" i="25"/>
  <c r="J248" i="25"/>
  <c r="K248" i="25"/>
  <c r="L248" i="25"/>
  <c r="M248" i="25"/>
  <c r="N248" i="25"/>
  <c r="O248" i="25"/>
  <c r="P248" i="25"/>
  <c r="Q248" i="25"/>
  <c r="R248" i="25"/>
  <c r="S248" i="25"/>
  <c r="T248" i="25"/>
  <c r="U248" i="25"/>
  <c r="A256" i="25"/>
  <c r="B256" i="25"/>
  <c r="C256" i="25"/>
  <c r="D256" i="25"/>
  <c r="F256" i="25"/>
  <c r="G256" i="25"/>
  <c r="H256" i="25"/>
  <c r="I256" i="25"/>
  <c r="J256" i="25"/>
  <c r="K256" i="25"/>
  <c r="L256" i="25"/>
  <c r="M256" i="25"/>
  <c r="N256" i="25"/>
  <c r="O256" i="25"/>
  <c r="P256" i="25"/>
  <c r="Q256" i="25"/>
  <c r="R256" i="25"/>
  <c r="S256" i="25"/>
  <c r="T256" i="25"/>
  <c r="U256" i="25"/>
  <c r="A261" i="25"/>
  <c r="B261" i="25"/>
  <c r="C261" i="25"/>
  <c r="D261" i="25"/>
  <c r="F261" i="25"/>
  <c r="G261" i="25"/>
  <c r="H261" i="25"/>
  <c r="I261" i="25"/>
  <c r="J261" i="25"/>
  <c r="K261" i="25"/>
  <c r="L261" i="25"/>
  <c r="M261" i="25"/>
  <c r="N261" i="25"/>
  <c r="O261" i="25"/>
  <c r="P261" i="25"/>
  <c r="Q261" i="25"/>
  <c r="R261" i="25"/>
  <c r="S261" i="25"/>
  <c r="T261" i="25"/>
  <c r="U261" i="25"/>
  <c r="A262" i="25"/>
  <c r="B262" i="25"/>
  <c r="C262" i="25"/>
  <c r="D262" i="25"/>
  <c r="F262" i="25"/>
  <c r="G262" i="25"/>
  <c r="H262" i="25"/>
  <c r="I262" i="25"/>
  <c r="J262" i="25"/>
  <c r="K262" i="25"/>
  <c r="L262" i="25"/>
  <c r="M262" i="25"/>
  <c r="N262" i="25"/>
  <c r="O262" i="25"/>
  <c r="P262" i="25"/>
  <c r="Q262" i="25"/>
  <c r="R262" i="25"/>
  <c r="S262" i="25"/>
  <c r="T262" i="25"/>
  <c r="U262" i="25"/>
  <c r="A263" i="25"/>
  <c r="B263" i="25"/>
  <c r="C263" i="25"/>
  <c r="D263" i="25"/>
  <c r="F263" i="25"/>
  <c r="G263" i="25"/>
  <c r="H263" i="25"/>
  <c r="I263" i="25"/>
  <c r="J263" i="25"/>
  <c r="K263" i="25"/>
  <c r="L263" i="25"/>
  <c r="M263" i="25"/>
  <c r="N263" i="25"/>
  <c r="O263" i="25"/>
  <c r="Q263" i="25"/>
  <c r="R263" i="25"/>
  <c r="S263" i="25"/>
  <c r="T263" i="25"/>
  <c r="U263" i="25"/>
  <c r="A288" i="25"/>
  <c r="B288" i="25"/>
  <c r="C288" i="25"/>
  <c r="D288" i="25"/>
  <c r="F288" i="25"/>
  <c r="G288" i="25"/>
  <c r="H288" i="25"/>
  <c r="I288" i="25"/>
  <c r="J288" i="25"/>
  <c r="K288" i="25"/>
  <c r="L288" i="25"/>
  <c r="M288" i="25"/>
  <c r="N288" i="25"/>
  <c r="O288" i="25"/>
  <c r="P288" i="25"/>
  <c r="Q288" i="25"/>
  <c r="R288" i="25"/>
  <c r="S288" i="25"/>
  <c r="T288" i="25"/>
  <c r="U288" i="25"/>
  <c r="A297" i="25"/>
  <c r="B297" i="25"/>
  <c r="C297" i="25"/>
  <c r="D297" i="25"/>
  <c r="F297" i="25"/>
  <c r="G297" i="25"/>
  <c r="H297" i="25"/>
  <c r="I297" i="25"/>
  <c r="J297" i="25"/>
  <c r="K297" i="25"/>
  <c r="L297" i="25"/>
  <c r="M297" i="25"/>
  <c r="N297" i="25"/>
  <c r="O297" i="25"/>
  <c r="P297" i="25"/>
  <c r="Q297" i="25"/>
  <c r="R297" i="25"/>
  <c r="S297" i="25"/>
  <c r="T297" i="25"/>
  <c r="U297" i="25"/>
  <c r="A318" i="25"/>
  <c r="B318" i="25"/>
  <c r="C318" i="25"/>
  <c r="D318" i="25"/>
  <c r="F318" i="25"/>
  <c r="G318" i="25"/>
  <c r="H318" i="25"/>
  <c r="I318" i="25"/>
  <c r="J318" i="25"/>
  <c r="K318" i="25"/>
  <c r="L318" i="25"/>
  <c r="M318" i="25"/>
  <c r="O318" i="25"/>
  <c r="P318" i="25"/>
  <c r="Q318" i="25"/>
  <c r="R318" i="25"/>
  <c r="S318" i="25"/>
  <c r="T318" i="25"/>
  <c r="U318" i="25"/>
  <c r="A323" i="25"/>
  <c r="B323" i="25"/>
  <c r="C323" i="25"/>
  <c r="D323" i="25"/>
  <c r="F323" i="25"/>
  <c r="G323" i="25"/>
  <c r="H323" i="25"/>
  <c r="I323" i="25"/>
  <c r="J323" i="25"/>
  <c r="K323" i="25"/>
  <c r="L323" i="25"/>
  <c r="M323" i="25"/>
  <c r="N323" i="25"/>
  <c r="O323" i="25"/>
  <c r="P323" i="25"/>
  <c r="Q323" i="25"/>
  <c r="R323" i="25"/>
  <c r="S323" i="25"/>
  <c r="T323" i="25"/>
  <c r="U323" i="25"/>
  <c r="A324" i="25"/>
  <c r="B324" i="25"/>
  <c r="C324" i="25"/>
  <c r="D324" i="25"/>
  <c r="F324" i="25"/>
  <c r="G324" i="25"/>
  <c r="H324" i="25"/>
  <c r="I324" i="25"/>
  <c r="J324" i="25"/>
  <c r="K324" i="25"/>
  <c r="L324" i="25"/>
  <c r="M324" i="25"/>
  <c r="N324" i="25"/>
  <c r="O324" i="25"/>
  <c r="P324" i="25"/>
  <c r="Q324" i="25"/>
  <c r="R324" i="25"/>
  <c r="S324" i="25"/>
  <c r="T324" i="25"/>
  <c r="U324" i="25"/>
  <c r="A328" i="25"/>
  <c r="B328" i="25"/>
  <c r="C328" i="25"/>
  <c r="D328" i="25"/>
  <c r="F328" i="25"/>
  <c r="G328" i="25"/>
  <c r="H328" i="25"/>
  <c r="I328" i="25"/>
  <c r="J328" i="25"/>
  <c r="K328" i="25"/>
  <c r="M328" i="25"/>
  <c r="N328" i="25"/>
  <c r="O328" i="25"/>
  <c r="Q328" i="25"/>
  <c r="R328" i="25"/>
  <c r="S328" i="25"/>
  <c r="T328" i="25"/>
  <c r="U328" i="25"/>
  <c r="A329" i="25"/>
  <c r="B329" i="25"/>
  <c r="C329" i="25"/>
  <c r="D329" i="25"/>
  <c r="F329" i="25"/>
  <c r="G329" i="25"/>
  <c r="H329" i="25"/>
  <c r="I329" i="25"/>
  <c r="J329" i="25"/>
  <c r="K329" i="25"/>
  <c r="L329" i="25"/>
  <c r="M329" i="25"/>
  <c r="N329" i="25"/>
  <c r="O329" i="25"/>
  <c r="Q329" i="25"/>
  <c r="R329" i="25"/>
  <c r="S329" i="25"/>
  <c r="T329" i="25"/>
  <c r="U329" i="25"/>
  <c r="A344" i="25"/>
  <c r="B344" i="25"/>
  <c r="C344" i="25"/>
  <c r="D344" i="25"/>
  <c r="F344" i="25"/>
  <c r="G344" i="25"/>
  <c r="H344" i="25"/>
  <c r="I344" i="25"/>
  <c r="J344" i="25"/>
  <c r="K344" i="25"/>
  <c r="L344" i="25"/>
  <c r="M344" i="25"/>
  <c r="O344" i="25"/>
  <c r="P344" i="25"/>
  <c r="Q344" i="25"/>
  <c r="R344" i="25"/>
  <c r="S344" i="25"/>
  <c r="T344" i="25"/>
  <c r="U344" i="25"/>
  <c r="A345" i="25"/>
  <c r="B345" i="25"/>
  <c r="C345" i="25"/>
  <c r="D345" i="25"/>
  <c r="F345" i="25"/>
  <c r="G345" i="25"/>
  <c r="H345" i="25"/>
  <c r="I345" i="25"/>
  <c r="J345" i="25"/>
  <c r="K345" i="25"/>
  <c r="L345" i="25"/>
  <c r="M345" i="25"/>
  <c r="O345" i="25"/>
  <c r="P345" i="25"/>
  <c r="Q345" i="25"/>
  <c r="R345" i="25"/>
  <c r="T345" i="25"/>
  <c r="U345" i="25"/>
  <c r="A346" i="25"/>
  <c r="B346" i="25"/>
  <c r="C346" i="25"/>
  <c r="D346" i="25"/>
  <c r="F346" i="25"/>
  <c r="G346" i="25"/>
  <c r="H346" i="25"/>
  <c r="I346" i="25"/>
  <c r="J346" i="25"/>
  <c r="K346" i="25"/>
  <c r="L346" i="25"/>
  <c r="M346" i="25"/>
  <c r="O346" i="25"/>
  <c r="P346" i="25"/>
  <c r="Q346" i="25"/>
  <c r="R346" i="25"/>
  <c r="S346" i="25"/>
  <c r="T346" i="25"/>
  <c r="U346" i="25"/>
  <c r="A356" i="25"/>
  <c r="B356" i="25"/>
  <c r="C356" i="25"/>
  <c r="D356" i="25"/>
  <c r="F356" i="25"/>
  <c r="G356" i="25"/>
  <c r="H356" i="25"/>
  <c r="I356" i="25"/>
  <c r="J356" i="25"/>
  <c r="K356" i="25"/>
  <c r="L356" i="25"/>
  <c r="M356" i="25"/>
  <c r="O356" i="25"/>
  <c r="P356" i="25"/>
  <c r="Q356" i="25"/>
  <c r="R356" i="25"/>
  <c r="S356" i="25"/>
  <c r="T356" i="25"/>
  <c r="U356" i="25"/>
  <c r="A357" i="25"/>
  <c r="B357" i="25"/>
  <c r="C357" i="25"/>
  <c r="D357" i="25"/>
  <c r="F357" i="25"/>
  <c r="G357" i="25"/>
  <c r="H357" i="25"/>
  <c r="I357" i="25"/>
  <c r="J357" i="25"/>
  <c r="K357" i="25"/>
  <c r="L357" i="25"/>
  <c r="M357" i="25"/>
  <c r="N357" i="25"/>
  <c r="O357" i="25"/>
  <c r="P357" i="25"/>
  <c r="Q357" i="25"/>
  <c r="R357" i="25"/>
  <c r="S357" i="25"/>
  <c r="T357" i="25"/>
  <c r="U357" i="25"/>
  <c r="A10" i="25"/>
  <c r="B10" i="25"/>
  <c r="C10" i="25"/>
  <c r="D10" i="25"/>
  <c r="F10" i="25"/>
  <c r="G10" i="25"/>
  <c r="H10" i="25"/>
  <c r="I10" i="25"/>
  <c r="J10" i="25"/>
  <c r="K10" i="25"/>
  <c r="L10" i="25"/>
  <c r="M10" i="25"/>
  <c r="N10" i="25"/>
  <c r="O10" i="25"/>
  <c r="P10" i="25"/>
  <c r="Q10" i="25"/>
  <c r="R10" i="25"/>
  <c r="S10" i="25"/>
  <c r="T10" i="25"/>
  <c r="U10" i="25"/>
  <c r="A14" i="25"/>
  <c r="B14" i="25"/>
  <c r="C14" i="25"/>
  <c r="D14" i="25"/>
  <c r="F14" i="25"/>
  <c r="G14" i="25"/>
  <c r="H14" i="25"/>
  <c r="I14" i="25"/>
  <c r="J14" i="25"/>
  <c r="K14" i="25"/>
  <c r="L14" i="25"/>
  <c r="M14" i="25"/>
  <c r="N14" i="25"/>
  <c r="O14" i="25"/>
  <c r="P14" i="25"/>
  <c r="Q14" i="25"/>
  <c r="R14" i="25"/>
  <c r="S14" i="25"/>
  <c r="T14" i="25"/>
  <c r="U14" i="25"/>
  <c r="A34" i="25"/>
  <c r="B34" i="25"/>
  <c r="C34" i="25"/>
  <c r="D34" i="25"/>
  <c r="F34" i="25"/>
  <c r="G34" i="25"/>
  <c r="H34" i="25"/>
  <c r="I34" i="25"/>
  <c r="J34" i="25"/>
  <c r="K34" i="25"/>
  <c r="L34" i="25"/>
  <c r="M34" i="25"/>
  <c r="N34" i="25"/>
  <c r="O34" i="25"/>
  <c r="Q34" i="25"/>
  <c r="R34" i="25"/>
  <c r="S34" i="25"/>
  <c r="T34" i="25"/>
  <c r="U34" i="25"/>
  <c r="A47" i="25"/>
  <c r="B47" i="25"/>
  <c r="C47" i="25"/>
  <c r="D47" i="25"/>
  <c r="F47" i="25"/>
  <c r="G47" i="25"/>
  <c r="H47" i="25"/>
  <c r="I47" i="25"/>
  <c r="J47" i="25"/>
  <c r="K47" i="25"/>
  <c r="L47" i="25"/>
  <c r="M47" i="25"/>
  <c r="N47" i="25"/>
  <c r="O47" i="25"/>
  <c r="P47" i="25"/>
  <c r="Q47" i="25"/>
  <c r="R47" i="25"/>
  <c r="S47" i="25"/>
  <c r="T47" i="25"/>
  <c r="U47" i="25"/>
  <c r="A65" i="25"/>
  <c r="B65" i="25"/>
  <c r="C65" i="25"/>
  <c r="D65" i="25"/>
  <c r="F65" i="25"/>
  <c r="G65" i="25"/>
  <c r="H65" i="25"/>
  <c r="I65" i="25"/>
  <c r="J65" i="25"/>
  <c r="K65" i="25"/>
  <c r="L65" i="25"/>
  <c r="M65" i="25"/>
  <c r="O65" i="25"/>
  <c r="P65" i="25"/>
  <c r="Q65" i="25"/>
  <c r="R65" i="25"/>
  <c r="T65" i="25"/>
  <c r="U65" i="25"/>
  <c r="A66" i="25"/>
  <c r="B66" i="25"/>
  <c r="C66" i="25"/>
  <c r="D66" i="25"/>
  <c r="F66" i="25"/>
  <c r="G66" i="25"/>
  <c r="H66" i="25"/>
  <c r="I66" i="25"/>
  <c r="J66" i="25"/>
  <c r="K66" i="25"/>
  <c r="L66" i="25"/>
  <c r="M66" i="25"/>
  <c r="N66" i="25"/>
  <c r="O66" i="25"/>
  <c r="P66" i="25"/>
  <c r="Q66" i="25"/>
  <c r="R66" i="25"/>
  <c r="S66" i="25"/>
  <c r="T66" i="25"/>
  <c r="U66" i="25"/>
  <c r="A71" i="25"/>
  <c r="B71" i="25"/>
  <c r="C71" i="25"/>
  <c r="D71" i="25"/>
  <c r="F71" i="25"/>
  <c r="G71" i="25"/>
  <c r="H71" i="25"/>
  <c r="I71" i="25"/>
  <c r="J71" i="25"/>
  <c r="K71" i="25"/>
  <c r="L71" i="25"/>
  <c r="M71" i="25"/>
  <c r="N71" i="25"/>
  <c r="O71" i="25"/>
  <c r="P71" i="25"/>
  <c r="Q71" i="25"/>
  <c r="R71" i="25"/>
  <c r="S71" i="25"/>
  <c r="T71" i="25"/>
  <c r="U71" i="25"/>
  <c r="A72" i="25"/>
  <c r="B72" i="25"/>
  <c r="C72" i="25"/>
  <c r="D72" i="25"/>
  <c r="F72" i="25"/>
  <c r="G72" i="25"/>
  <c r="H72" i="25"/>
  <c r="I72" i="25"/>
  <c r="J72" i="25"/>
  <c r="K72" i="25"/>
  <c r="L72" i="25"/>
  <c r="M72" i="25"/>
  <c r="N72" i="25"/>
  <c r="O72" i="25"/>
  <c r="P72" i="25"/>
  <c r="Q72" i="25"/>
  <c r="R72" i="25"/>
  <c r="S72" i="25"/>
  <c r="T72" i="25"/>
  <c r="U72" i="25"/>
  <c r="A76" i="25"/>
  <c r="B76" i="25"/>
  <c r="C76" i="25"/>
  <c r="D76" i="25"/>
  <c r="F76" i="25"/>
  <c r="G76" i="25"/>
  <c r="H76" i="25"/>
  <c r="I76" i="25"/>
  <c r="J76" i="25"/>
  <c r="K76" i="25"/>
  <c r="L76" i="25"/>
  <c r="M76" i="25"/>
  <c r="O76" i="25"/>
  <c r="P76" i="25"/>
  <c r="Q76" i="25"/>
  <c r="R76" i="25"/>
  <c r="S76" i="25"/>
  <c r="T76" i="25"/>
  <c r="U76" i="25"/>
  <c r="A77" i="25"/>
  <c r="B77" i="25"/>
  <c r="C77" i="25"/>
  <c r="D77" i="25"/>
  <c r="F77" i="25"/>
  <c r="G77" i="25"/>
  <c r="H77" i="25"/>
  <c r="I77" i="25"/>
  <c r="J77" i="25"/>
  <c r="K77" i="25"/>
  <c r="L77" i="25"/>
  <c r="M77" i="25"/>
  <c r="N77" i="25"/>
  <c r="O77" i="25"/>
  <c r="P77" i="25"/>
  <c r="Q77" i="25"/>
  <c r="R77" i="25"/>
  <c r="S77" i="25"/>
  <c r="T77" i="25"/>
  <c r="U77" i="25"/>
  <c r="A84" i="25"/>
  <c r="B84" i="25"/>
  <c r="C84" i="25"/>
  <c r="D84" i="25"/>
  <c r="F84" i="25"/>
  <c r="G84" i="25"/>
  <c r="H84" i="25"/>
  <c r="I84" i="25"/>
  <c r="J84" i="25"/>
  <c r="K84" i="25"/>
  <c r="L84" i="25"/>
  <c r="M84" i="25"/>
  <c r="N84" i="25"/>
  <c r="O84" i="25"/>
  <c r="P84" i="25"/>
  <c r="Q84" i="25"/>
  <c r="R84" i="25"/>
  <c r="S84" i="25"/>
  <c r="T84" i="25"/>
  <c r="U84" i="25"/>
  <c r="A90" i="25"/>
  <c r="B90" i="25"/>
  <c r="C90" i="25"/>
  <c r="D90" i="25"/>
  <c r="F90" i="25"/>
  <c r="G90" i="25"/>
  <c r="H90" i="25"/>
  <c r="I90" i="25"/>
  <c r="J90" i="25"/>
  <c r="K90" i="25"/>
  <c r="L90" i="25"/>
  <c r="M90" i="25"/>
  <c r="N90" i="25"/>
  <c r="O90" i="25"/>
  <c r="Q90" i="25"/>
  <c r="R90" i="25"/>
  <c r="S90" i="25"/>
  <c r="T90" i="25"/>
  <c r="U90" i="25"/>
  <c r="A91" i="25"/>
  <c r="B91" i="25"/>
  <c r="C91" i="25"/>
  <c r="D91" i="25"/>
  <c r="F91" i="25"/>
  <c r="G91" i="25"/>
  <c r="H91" i="25"/>
  <c r="I91" i="25"/>
  <c r="J91" i="25"/>
  <c r="K91" i="25"/>
  <c r="L91" i="25"/>
  <c r="M91" i="25"/>
  <c r="N91" i="25"/>
  <c r="O91" i="25"/>
  <c r="P91" i="25"/>
  <c r="Q91" i="25"/>
  <c r="R91" i="25"/>
  <c r="S91" i="25"/>
  <c r="T91" i="25"/>
  <c r="U91" i="25"/>
  <c r="A104" i="25"/>
  <c r="B104" i="25"/>
  <c r="C104" i="25"/>
  <c r="D104" i="25"/>
  <c r="F104" i="25"/>
  <c r="G104" i="25"/>
  <c r="H104" i="25"/>
  <c r="I104" i="25"/>
  <c r="J104" i="25"/>
  <c r="K104" i="25"/>
  <c r="L104" i="25"/>
  <c r="M104" i="25"/>
  <c r="N104" i="25"/>
  <c r="O104" i="25"/>
  <c r="P104" i="25"/>
  <c r="Q104" i="25"/>
  <c r="R104" i="25"/>
  <c r="S104" i="25"/>
  <c r="T104" i="25"/>
  <c r="U104" i="25"/>
  <c r="A105" i="25"/>
  <c r="B105" i="25"/>
  <c r="C105" i="25"/>
  <c r="D105" i="25"/>
  <c r="F105" i="25"/>
  <c r="G105" i="25"/>
  <c r="H105" i="25"/>
  <c r="I105" i="25"/>
  <c r="J105" i="25"/>
  <c r="K105" i="25"/>
  <c r="L105" i="25"/>
  <c r="M105" i="25"/>
  <c r="N105" i="25"/>
  <c r="O105" i="25"/>
  <c r="P105" i="25"/>
  <c r="Q105" i="25"/>
  <c r="R105" i="25"/>
  <c r="S105" i="25"/>
  <c r="T105" i="25"/>
  <c r="U105" i="25"/>
  <c r="A114" i="25"/>
  <c r="B114" i="25"/>
  <c r="C114" i="25"/>
  <c r="D114" i="25"/>
  <c r="F114" i="25"/>
  <c r="G114" i="25"/>
  <c r="H114" i="25"/>
  <c r="I114" i="25"/>
  <c r="J114" i="25"/>
  <c r="K114" i="25"/>
  <c r="L114" i="25"/>
  <c r="M114" i="25"/>
  <c r="N114" i="25"/>
  <c r="O114" i="25"/>
  <c r="P114" i="25"/>
  <c r="Q114" i="25"/>
  <c r="R114" i="25"/>
  <c r="S114" i="25"/>
  <c r="T114" i="25"/>
  <c r="U114" i="25"/>
  <c r="A115" i="25"/>
  <c r="B115" i="25"/>
  <c r="C115" i="25"/>
  <c r="D115" i="25"/>
  <c r="F115" i="25"/>
  <c r="G115" i="25"/>
  <c r="H115" i="25"/>
  <c r="I115" i="25"/>
  <c r="J115" i="25"/>
  <c r="K115" i="25"/>
  <c r="L115" i="25"/>
  <c r="M115" i="25"/>
  <c r="N115" i="25"/>
  <c r="O115" i="25"/>
  <c r="P115" i="25"/>
  <c r="Q115" i="25"/>
  <c r="R115" i="25"/>
  <c r="S115" i="25"/>
  <c r="T115" i="25"/>
  <c r="U115" i="25"/>
  <c r="A139" i="25"/>
  <c r="B139" i="25"/>
  <c r="C139" i="25"/>
  <c r="D139" i="25"/>
  <c r="F139" i="25"/>
  <c r="G139" i="25"/>
  <c r="H139" i="25"/>
  <c r="I139" i="25"/>
  <c r="J139" i="25"/>
  <c r="K139" i="25"/>
  <c r="L139" i="25"/>
  <c r="M139" i="25"/>
  <c r="N139" i="25"/>
  <c r="O139" i="25"/>
  <c r="P139" i="25"/>
  <c r="Q139" i="25"/>
  <c r="R139" i="25"/>
  <c r="S139" i="25"/>
  <c r="T139" i="25"/>
  <c r="U139" i="25"/>
  <c r="A141" i="25"/>
  <c r="B141" i="25"/>
  <c r="C141" i="25"/>
  <c r="D141" i="25"/>
  <c r="F141" i="25"/>
  <c r="G141" i="25"/>
  <c r="H141" i="25"/>
  <c r="I141" i="25"/>
  <c r="J141" i="25"/>
  <c r="K141" i="25"/>
  <c r="M141" i="25"/>
  <c r="N141" i="25"/>
  <c r="O141" i="25"/>
  <c r="P141" i="25"/>
  <c r="Q141" i="25"/>
  <c r="R141" i="25"/>
  <c r="S141" i="25"/>
  <c r="T141" i="25"/>
  <c r="U141" i="25"/>
  <c r="A144" i="25"/>
  <c r="B144" i="25"/>
  <c r="C144" i="25"/>
  <c r="D144" i="25"/>
  <c r="F144" i="25"/>
  <c r="G144" i="25"/>
  <c r="H144" i="25"/>
  <c r="I144" i="25"/>
  <c r="J144" i="25"/>
  <c r="K144" i="25"/>
  <c r="L144" i="25"/>
  <c r="M144" i="25"/>
  <c r="O144" i="25"/>
  <c r="P144" i="25"/>
  <c r="Q144" i="25"/>
  <c r="R144" i="25"/>
  <c r="S144" i="25"/>
  <c r="T144" i="25"/>
  <c r="U144" i="25"/>
  <c r="A145" i="25"/>
  <c r="B145" i="25"/>
  <c r="C145" i="25"/>
  <c r="D145" i="25"/>
  <c r="F145" i="25"/>
  <c r="G145" i="25"/>
  <c r="H145" i="25"/>
  <c r="I145" i="25"/>
  <c r="J145" i="25"/>
  <c r="K145" i="25"/>
  <c r="L145" i="25"/>
  <c r="M145" i="25"/>
  <c r="N145" i="25"/>
  <c r="O145" i="25"/>
  <c r="P145" i="25"/>
  <c r="Q145" i="25"/>
  <c r="R145" i="25"/>
  <c r="S145" i="25"/>
  <c r="T145" i="25"/>
  <c r="U145" i="25"/>
  <c r="A150" i="25"/>
  <c r="B150" i="25"/>
  <c r="C150" i="25"/>
  <c r="D150" i="25"/>
  <c r="F150" i="25"/>
  <c r="G150" i="25"/>
  <c r="H150" i="25"/>
  <c r="I150" i="25"/>
  <c r="J150" i="25"/>
  <c r="K150" i="25"/>
  <c r="L150" i="25"/>
  <c r="M150" i="25"/>
  <c r="N150" i="25"/>
  <c r="O150" i="25"/>
  <c r="Q150" i="25"/>
  <c r="R150" i="25"/>
  <c r="S150" i="25"/>
  <c r="T150" i="25"/>
  <c r="U150" i="25"/>
  <c r="A164" i="25"/>
  <c r="B164" i="25"/>
  <c r="C164" i="25"/>
  <c r="D164" i="25"/>
  <c r="F164" i="25"/>
  <c r="G164" i="25"/>
  <c r="H164" i="25"/>
  <c r="I164" i="25"/>
  <c r="J164" i="25"/>
  <c r="K164" i="25"/>
  <c r="L164" i="25"/>
  <c r="M164" i="25"/>
  <c r="O164" i="25"/>
  <c r="Q164" i="25"/>
  <c r="R164" i="25"/>
  <c r="S164" i="25"/>
  <c r="T164" i="25"/>
  <c r="U164" i="25"/>
  <c r="A165" i="25"/>
  <c r="B165" i="25"/>
  <c r="C165" i="25"/>
  <c r="D165" i="25"/>
  <c r="F165" i="25"/>
  <c r="G165" i="25"/>
  <c r="H165" i="25"/>
  <c r="I165" i="25"/>
  <c r="J165" i="25"/>
  <c r="K165" i="25"/>
  <c r="M165" i="25"/>
  <c r="O165" i="25"/>
  <c r="P165" i="25"/>
  <c r="Q165" i="25"/>
  <c r="R165" i="25"/>
  <c r="S165" i="25"/>
  <c r="T165" i="25"/>
  <c r="U165" i="25"/>
  <c r="A9" i="25"/>
  <c r="B9" i="25"/>
  <c r="C9" i="25"/>
  <c r="D9" i="25"/>
  <c r="F9" i="25"/>
  <c r="G9" i="25"/>
  <c r="H9" i="25"/>
  <c r="I9" i="25"/>
  <c r="J9" i="25"/>
  <c r="K9" i="25"/>
  <c r="L9" i="25"/>
  <c r="M9" i="25"/>
  <c r="O9" i="25"/>
  <c r="Q9" i="25"/>
  <c r="R9" i="25"/>
  <c r="S9" i="25"/>
  <c r="T9" i="25"/>
  <c r="U9" i="25"/>
  <c r="N21" i="5"/>
  <c r="N101" i="25"/>
  <c r="N34" i="5"/>
  <c r="N56" i="24" s="1"/>
  <c r="N66" i="3"/>
  <c r="N392" i="25" s="1"/>
  <c r="L111" i="25"/>
  <c r="L156" i="18"/>
  <c r="L232" i="25" s="1"/>
  <c r="L278" i="25"/>
  <c r="L68" i="7"/>
  <c r="L47" i="26" s="1"/>
  <c r="L51" i="26" s="1"/>
  <c r="N294" i="25"/>
  <c r="L252" i="25"/>
  <c r="N32" i="4"/>
  <c r="N66" i="7"/>
  <c r="N38" i="24" s="1"/>
  <c r="L47" i="24" l="1"/>
  <c r="A2" i="25"/>
  <c r="R1" i="25"/>
  <c r="A1" i="25"/>
  <c r="A2" i="24"/>
  <c r="R1" i="24"/>
  <c r="A1" i="24"/>
  <c r="N27" i="5"/>
  <c r="N399" i="25" s="1"/>
  <c r="L27" i="5"/>
  <c r="L399" i="25" s="1"/>
  <c r="E27" i="5"/>
  <c r="E399" i="25" s="1"/>
  <c r="P26" i="5"/>
  <c r="P384" i="25" s="1"/>
  <c r="N26" i="5"/>
  <c r="N384" i="25" s="1"/>
  <c r="L26" i="5"/>
  <c r="L384" i="25" s="1"/>
  <c r="E26" i="5"/>
  <c r="E384" i="25" s="1"/>
  <c r="N25" i="5"/>
  <c r="N347" i="25" s="1"/>
  <c r="E25" i="5"/>
  <c r="E347" i="25" s="1"/>
  <c r="N24" i="5"/>
  <c r="N319" i="25" s="1"/>
  <c r="L24" i="5"/>
  <c r="L319" i="25" s="1"/>
  <c r="E24" i="5"/>
  <c r="E319" i="25" s="1"/>
  <c r="N23" i="5"/>
  <c r="N312" i="25" s="1"/>
  <c r="L23" i="5"/>
  <c r="L312" i="25" s="1"/>
  <c r="E23" i="5"/>
  <c r="E312" i="25" s="1"/>
  <c r="N22" i="5"/>
  <c r="N305" i="25" s="1"/>
  <c r="L22" i="5"/>
  <c r="L305" i="25" s="1"/>
  <c r="E22" i="5"/>
  <c r="E305" i="25" s="1"/>
  <c r="E21" i="5"/>
  <c r="E304" i="25" s="1"/>
  <c r="N20" i="5"/>
  <c r="N281" i="25" s="1"/>
  <c r="L20" i="5"/>
  <c r="L281" i="25" s="1"/>
  <c r="E20" i="5"/>
  <c r="E281" i="25" s="1"/>
  <c r="L19" i="5"/>
  <c r="L280" i="25" s="1"/>
  <c r="E19" i="5"/>
  <c r="E280" i="25" s="1"/>
  <c r="N18" i="5"/>
  <c r="N223" i="25" s="1"/>
  <c r="E18" i="5"/>
  <c r="E223" i="25" s="1"/>
  <c r="N17" i="5"/>
  <c r="N206" i="25" s="1"/>
  <c r="L17" i="5"/>
  <c r="L206" i="25" s="1"/>
  <c r="E17" i="5"/>
  <c r="E206" i="25" s="1"/>
  <c r="N16" i="5"/>
  <c r="N176" i="25" s="1"/>
  <c r="E16" i="5"/>
  <c r="E176" i="25" s="1"/>
  <c r="E15" i="5"/>
  <c r="E152" i="25" s="1"/>
  <c r="E14" i="5"/>
  <c r="E151" i="25" s="1"/>
  <c r="P13" i="5"/>
  <c r="P106" i="25" s="1"/>
  <c r="N13" i="5"/>
  <c r="N106" i="25" s="1"/>
  <c r="E13" i="5"/>
  <c r="E106" i="25" s="1"/>
  <c r="N12" i="5"/>
  <c r="N85" i="25" s="1"/>
  <c r="L12" i="5"/>
  <c r="L85" i="25" s="1"/>
  <c r="E12" i="5"/>
  <c r="E85" i="25" s="1"/>
  <c r="N11" i="5"/>
  <c r="N69" i="25" s="1"/>
  <c r="L11" i="5"/>
  <c r="L69" i="25" s="1"/>
  <c r="E11" i="5"/>
  <c r="E69" i="25" s="1"/>
  <c r="S10" i="5"/>
  <c r="S67" i="25" s="1"/>
  <c r="P10" i="5"/>
  <c r="P67" i="25" s="1"/>
  <c r="E10" i="5"/>
  <c r="E67" i="25" s="1"/>
  <c r="L9" i="5"/>
  <c r="L46" i="25" s="1"/>
  <c r="E9" i="5"/>
  <c r="E46" i="25" s="1"/>
  <c r="E8" i="5"/>
  <c r="E45" i="25" s="1"/>
  <c r="L7" i="5"/>
  <c r="L11" i="25" s="1"/>
  <c r="E7" i="5"/>
  <c r="E11" i="25" s="1"/>
  <c r="L310" i="25" l="1"/>
  <c r="L178" i="25"/>
  <c r="N48" i="5"/>
  <c r="N30" i="25" s="1"/>
  <c r="N27" i="14"/>
  <c r="N387" i="25" s="1"/>
  <c r="L9" i="18"/>
  <c r="L26" i="25" s="1"/>
  <c r="N11" i="21"/>
  <c r="N15" i="3"/>
  <c r="N76" i="25" s="1"/>
  <c r="L123" i="18"/>
  <c r="N84" i="18"/>
  <c r="L34" i="18"/>
  <c r="L317" i="25" s="1"/>
  <c r="N252" i="25"/>
  <c r="L132" i="25" l="1"/>
  <c r="N239" i="25"/>
  <c r="N27" i="26"/>
  <c r="N47" i="24"/>
  <c r="L107" i="25"/>
  <c r="N57" i="25"/>
  <c r="N49" i="18"/>
  <c r="N110" i="25" s="1"/>
  <c r="L90" i="7"/>
  <c r="L124" i="25" s="1"/>
  <c r="N90" i="7"/>
  <c r="N124" i="25" s="1"/>
  <c r="E90" i="7"/>
  <c r="E124" i="25" s="1"/>
  <c r="N55" i="3"/>
  <c r="N367" i="25" s="1"/>
  <c r="N258" i="25"/>
  <c r="L57" i="3"/>
  <c r="L369" i="25" s="1"/>
  <c r="L77" i="7"/>
  <c r="L266" i="25" s="1"/>
  <c r="N156" i="25"/>
  <c r="L93" i="5"/>
  <c r="L358" i="25" s="1"/>
  <c r="L122" i="25"/>
  <c r="N9" i="14"/>
  <c r="N143" i="25" s="1"/>
  <c r="L61" i="7"/>
  <c r="L333" i="25" s="1"/>
  <c r="L19" i="18"/>
  <c r="L126" i="25" s="1"/>
  <c r="L42" i="25"/>
  <c r="N155" i="25"/>
  <c r="L6" i="4"/>
  <c r="L7" i="24" s="1"/>
  <c r="N229" i="25"/>
  <c r="N72" i="7"/>
  <c r="N77" i="24" s="1"/>
  <c r="L155" i="25"/>
  <c r="L47" i="7"/>
  <c r="L199" i="25" s="1"/>
  <c r="N33" i="21"/>
  <c r="N57" i="3"/>
  <c r="N369" i="25" s="1"/>
  <c r="L111" i="18"/>
  <c r="L24" i="25" s="1"/>
  <c r="N73" i="24"/>
  <c r="L50" i="7"/>
  <c r="L111" i="7"/>
  <c r="L95" i="25" s="1"/>
  <c r="N274" i="25"/>
  <c r="N152" i="18"/>
  <c r="N68" i="25" s="1"/>
  <c r="N96" i="5"/>
  <c r="N109" i="24" s="1"/>
  <c r="N57" i="7"/>
  <c r="N298" i="25" s="1"/>
  <c r="L227" i="25" l="1"/>
  <c r="L29" i="26"/>
  <c r="N132" i="25"/>
  <c r="N16" i="18"/>
  <c r="N109" i="25" s="1"/>
  <c r="L74" i="25"/>
  <c r="L327" i="25"/>
  <c r="L62" i="3"/>
  <c r="N26" i="3"/>
  <c r="N144" i="25" s="1"/>
  <c r="N45" i="21"/>
  <c r="L147" i="25"/>
  <c r="L79" i="5"/>
  <c r="L92" i="24" s="1"/>
  <c r="N103" i="7"/>
  <c r="N137" i="25" s="1"/>
  <c r="L182" i="25"/>
  <c r="N194" i="25"/>
  <c r="N42" i="5"/>
  <c r="N90" i="24" s="1"/>
  <c r="N241" i="25"/>
  <c r="N96" i="25"/>
  <c r="L245" i="25"/>
  <c r="L78" i="3"/>
  <c r="L63" i="18"/>
  <c r="L382" i="25" s="1"/>
  <c r="N322" i="25"/>
  <c r="L25" i="4"/>
  <c r="N25" i="4"/>
  <c r="L31" i="4"/>
  <c r="L70" i="24" s="1"/>
  <c r="N92" i="18"/>
  <c r="N365" i="25" s="1"/>
  <c r="N86" i="18"/>
  <c r="N260" i="25" s="1"/>
  <c r="N18" i="21"/>
  <c r="L22" i="14"/>
  <c r="L390" i="25" s="1"/>
  <c r="N77" i="7"/>
  <c r="N266" i="25" s="1"/>
  <c r="L12" i="14"/>
  <c r="L215" i="25" s="1"/>
  <c r="N22" i="7"/>
  <c r="N86" i="25" s="1"/>
  <c r="L258" i="25"/>
  <c r="L165" i="18"/>
  <c r="L160" i="25" s="1"/>
  <c r="L168" i="25"/>
  <c r="N38" i="5"/>
  <c r="N85" i="24" s="1"/>
  <c r="N12" i="21"/>
  <c r="N41" i="4"/>
  <c r="N107" i="24" s="1"/>
  <c r="N66" i="18"/>
  <c r="N400" i="25" s="1"/>
  <c r="L63" i="7"/>
  <c r="L359" i="25" s="1"/>
  <c r="N24" i="4"/>
  <c r="N74" i="24" s="1"/>
  <c r="N275" i="25"/>
  <c r="L91" i="18"/>
  <c r="L338" i="25" s="1"/>
  <c r="L56" i="26" l="1"/>
  <c r="L95" i="24"/>
  <c r="N56" i="26"/>
  <c r="N95" i="24"/>
  <c r="L55" i="26"/>
  <c r="L380" i="25"/>
  <c r="L101" i="25"/>
  <c r="L29" i="18"/>
  <c r="L273" i="25" s="1"/>
  <c r="N58" i="7"/>
  <c r="N313" i="25" s="1"/>
  <c r="L95" i="7"/>
  <c r="L300" i="25" s="1"/>
  <c r="L277" i="25"/>
  <c r="L120" i="18"/>
  <c r="L100" i="25" s="1"/>
  <c r="N51" i="18"/>
  <c r="N146" i="25" s="1"/>
  <c r="N9" i="24"/>
  <c r="L40" i="25" l="1"/>
  <c r="N54" i="7" l="1"/>
  <c r="N271" i="25" l="1"/>
  <c r="L271" i="25"/>
  <c r="N101" i="7"/>
  <c r="N94" i="25" s="1"/>
  <c r="L101" i="7"/>
  <c r="L94" i="25" s="1"/>
  <c r="L174" i="25" l="1"/>
  <c r="N168" i="25"/>
  <c r="L241" i="25"/>
  <c r="L110" i="25"/>
  <c r="N108" i="25"/>
  <c r="L298" i="25"/>
  <c r="N74" i="18"/>
  <c r="N70" i="25" l="1"/>
  <c r="L117" i="25"/>
  <c r="N126" i="18"/>
  <c r="N159" i="25" s="1"/>
  <c r="N17" i="4"/>
  <c r="N34" i="24" s="1"/>
  <c r="N7" i="25"/>
  <c r="L152" i="18"/>
  <c r="L68" i="25" s="1"/>
  <c r="L70" i="7"/>
  <c r="L53" i="24" s="1"/>
  <c r="L63" i="25"/>
  <c r="N173" i="18" l="1"/>
  <c r="N186" i="25" s="1"/>
  <c r="N101" i="5"/>
  <c r="N36" i="24" s="1"/>
  <c r="L77" i="5"/>
  <c r="L72" i="24" s="1"/>
  <c r="L126" i="18"/>
  <c r="L159" i="25" s="1"/>
  <c r="L66" i="7" l="1"/>
  <c r="L38" i="24" s="1"/>
  <c r="L299" i="25"/>
  <c r="N30" i="3"/>
  <c r="N165" i="25" s="1"/>
  <c r="L60" i="7"/>
  <c r="L332" i="25" s="1"/>
  <c r="L25" i="3"/>
  <c r="L141" i="25" s="1"/>
  <c r="N227" i="25"/>
  <c r="L61" i="25"/>
  <c r="L79" i="3"/>
  <c r="N60" i="18"/>
  <c r="N354" i="25" s="1"/>
  <c r="L14" i="14"/>
  <c r="L217" i="25" s="1"/>
  <c r="L385" i="25" l="1"/>
  <c r="N44" i="7" l="1"/>
  <c r="N181" i="25" s="1"/>
  <c r="P265" i="25" l="1"/>
  <c r="P43" i="7"/>
  <c r="P163" i="25" s="1"/>
  <c r="L184" i="25" l="1"/>
  <c r="N18" i="18"/>
  <c r="N119" i="25" s="1"/>
  <c r="N43" i="18" l="1"/>
  <c r="N19" i="25" s="1"/>
  <c r="L195" i="25"/>
  <c r="L169" i="18"/>
  <c r="L296" i="25" s="1"/>
  <c r="L55" i="21" l="1"/>
  <c r="L49" i="5"/>
  <c r="L31" i="25" s="1"/>
  <c r="L81" i="25"/>
  <c r="L9" i="24"/>
  <c r="L46" i="21"/>
  <c r="N225" i="25"/>
  <c r="L43" i="5"/>
  <c r="L91" i="24" s="1"/>
  <c r="N43" i="5"/>
  <c r="N91" i="24" s="1"/>
  <c r="L39" i="25"/>
  <c r="L361" i="25"/>
  <c r="L18" i="18"/>
  <c r="L119" i="25" s="1"/>
  <c r="N11" i="14"/>
  <c r="N192" i="25" s="1"/>
  <c r="N81" i="5"/>
  <c r="N97" i="24" s="1"/>
  <c r="N29" i="3"/>
  <c r="N164" i="25" s="1"/>
  <c r="L43" i="14"/>
  <c r="L211" i="25" s="1"/>
  <c r="N34" i="18"/>
  <c r="N317" i="25" s="1"/>
  <c r="N60" i="25"/>
  <c r="N142" i="25"/>
  <c r="L81" i="7"/>
  <c r="L73" i="24" s="1"/>
  <c r="N54" i="21"/>
  <c r="L54" i="21"/>
  <c r="N89" i="5"/>
  <c r="N247" i="25" s="1"/>
  <c r="L57" i="18"/>
  <c r="L294" i="25"/>
  <c r="L140" i="18"/>
  <c r="L355" i="25" s="1"/>
  <c r="N63" i="5"/>
  <c r="N366" i="25" s="1"/>
  <c r="N107" i="18"/>
  <c r="N385" i="25" s="1"/>
  <c r="N86" i="7"/>
  <c r="N48" i="25" s="1"/>
  <c r="L13" i="25"/>
  <c r="N104" i="18"/>
  <c r="N236" i="25" s="1"/>
  <c r="L106" i="7"/>
  <c r="L26" i="26" s="1"/>
  <c r="L104" i="7"/>
  <c r="L169" i="25" s="1"/>
  <c r="L64" i="5"/>
  <c r="L376" i="25" s="1"/>
  <c r="N172" i="25"/>
  <c r="L291" i="25" l="1"/>
  <c r="L37" i="26"/>
  <c r="L209" i="25"/>
  <c r="N109" i="18"/>
  <c r="N22" i="25" s="1"/>
  <c r="N42" i="25"/>
  <c r="N85" i="18"/>
  <c r="N245" i="25" s="1"/>
  <c r="L30" i="4"/>
  <c r="L54" i="24" s="1"/>
  <c r="L48" i="25"/>
  <c r="L243" i="25"/>
  <c r="N74" i="25"/>
  <c r="N149" i="25"/>
  <c r="N117" i="25"/>
  <c r="N26" i="18"/>
  <c r="N244" i="25" s="1"/>
  <c r="N321" i="25"/>
  <c r="N26" i="21"/>
  <c r="L371" i="25" l="1"/>
  <c r="N48" i="7"/>
  <c r="N200" i="25" s="1"/>
  <c r="N23" i="18"/>
  <c r="N201" i="25" s="1"/>
  <c r="L260" i="25"/>
  <c r="L36" i="5"/>
  <c r="L63" i="24" s="1"/>
  <c r="N61" i="25"/>
  <c r="N273" i="25"/>
  <c r="L148" i="25"/>
  <c r="N65" i="3"/>
  <c r="N391" i="25" s="1"/>
  <c r="N44" i="18" l="1"/>
  <c r="N39" i="25" s="1"/>
  <c r="L44" i="7" l="1"/>
  <c r="L181" i="25" s="1"/>
  <c r="L163" i="25" l="1"/>
  <c r="L17" i="21"/>
  <c r="N30" i="18" l="1"/>
  <c r="N299" i="25" s="1"/>
  <c r="N6" i="3"/>
  <c r="N9" i="25" s="1"/>
  <c r="N42" i="24"/>
  <c r="L42" i="24"/>
  <c r="N171" i="18"/>
  <c r="N184" i="25" s="1"/>
  <c r="L13" i="14"/>
  <c r="L216" i="25" s="1"/>
  <c r="L81" i="24"/>
  <c r="P59" i="21" l="1"/>
  <c r="L70" i="25" l="1"/>
  <c r="N122" i="25"/>
  <c r="L316" i="25"/>
  <c r="L80" i="5"/>
  <c r="L94" i="24" s="1"/>
  <c r="N68" i="5" l="1"/>
  <c r="N28" i="24" s="1"/>
  <c r="N212" i="25"/>
  <c r="N88" i="18"/>
  <c r="N302" i="25" s="1"/>
  <c r="L202" i="25"/>
  <c r="P86" i="18" l="1"/>
  <c r="P260" i="25" s="1"/>
  <c r="N46" i="7" l="1"/>
  <c r="N198" i="25" s="1"/>
  <c r="N172" i="18"/>
  <c r="N185" i="25" s="1"/>
  <c r="N47" i="7"/>
  <c r="N199" i="25" s="1"/>
  <c r="N53" i="3"/>
  <c r="N356" i="25" s="1"/>
  <c r="N36" i="25"/>
  <c r="N79" i="7"/>
  <c r="N16" i="24" s="1"/>
  <c r="N290" i="25"/>
  <c r="L173" i="25"/>
  <c r="N232" i="25"/>
  <c r="N8" i="18" l="1"/>
  <c r="N18" i="25" s="1"/>
  <c r="L79" i="7"/>
  <c r="L16" i="24" s="1"/>
  <c r="L102" i="7" l="1"/>
  <c r="L125" i="25" s="1"/>
  <c r="N42" i="21" l="1"/>
  <c r="N41" i="21"/>
  <c r="L30" i="24"/>
  <c r="L13" i="18"/>
  <c r="L96" i="25" s="1"/>
  <c r="L394" i="25"/>
  <c r="P15" i="14" l="1"/>
  <c r="P219" i="25" s="1"/>
  <c r="N134" i="18" l="1"/>
  <c r="N129" i="18"/>
  <c r="N230" i="25" s="1"/>
  <c r="N19" i="18"/>
  <c r="N126" i="25" s="1"/>
  <c r="L48" i="3"/>
  <c r="L328" i="25" s="1"/>
  <c r="L14" i="21"/>
  <c r="N55" i="18"/>
  <c r="N277" i="25" s="1"/>
  <c r="N287" i="25" l="1"/>
  <c r="N38" i="26"/>
  <c r="N24" i="26"/>
  <c r="N73" i="25"/>
  <c r="N31" i="18"/>
  <c r="N309" i="25" s="1"/>
  <c r="L32" i="5"/>
  <c r="L35" i="24" s="1"/>
  <c r="N81" i="24"/>
  <c r="L201" i="25"/>
  <c r="N43" i="21"/>
  <c r="N49" i="25"/>
  <c r="L16" i="14"/>
  <c r="L282" i="25" s="1"/>
  <c r="L142" i="25"/>
  <c r="L42" i="5"/>
  <c r="L90" i="24" s="1"/>
  <c r="N40" i="21"/>
  <c r="N117" i="18"/>
  <c r="S28" i="21"/>
  <c r="N55" i="25" l="1"/>
  <c r="N39" i="14"/>
  <c r="N136" i="25" s="1"/>
  <c r="L39" i="14"/>
  <c r="L136" i="25" s="1"/>
  <c r="L15" i="25"/>
  <c r="L28" i="5" l="1"/>
  <c r="L8" i="24" s="1"/>
  <c r="L79" i="18"/>
  <c r="L129" i="25" s="1"/>
  <c r="L50" i="18"/>
  <c r="L128" i="25" s="1"/>
  <c r="L295" i="25"/>
  <c r="L76" i="5"/>
  <c r="L65" i="24" s="1"/>
  <c r="N140" i="18"/>
  <c r="N355" i="25" s="1"/>
  <c r="N115" i="18"/>
  <c r="N50" i="25" s="1"/>
  <c r="L107" i="7"/>
  <c r="L253" i="25" s="1"/>
  <c r="N33" i="3" l="1"/>
  <c r="L38" i="25"/>
  <c r="N163" i="25"/>
  <c r="N361" i="25"/>
  <c r="N50" i="18"/>
  <c r="N128" i="25" s="1"/>
  <c r="N7" i="14"/>
  <c r="N80" i="25" s="1"/>
  <c r="N95" i="5"/>
  <c r="N108" i="24" s="1"/>
  <c r="L87" i="5"/>
  <c r="L32" i="25" s="1"/>
  <c r="L8" i="21"/>
  <c r="L229" i="25"/>
  <c r="N186" i="18"/>
  <c r="N29" i="25" s="1"/>
  <c r="L33" i="21"/>
  <c r="N316" i="25"/>
  <c r="L386" i="25"/>
  <c r="L33" i="3"/>
  <c r="N143" i="18"/>
  <c r="N379" i="25" s="1"/>
  <c r="L97" i="5"/>
  <c r="L11" i="24" s="1"/>
  <c r="L72" i="18"/>
  <c r="L58" i="25" s="1"/>
  <c r="N26" i="7"/>
  <c r="N173" i="25" s="1"/>
  <c r="L289" i="25" l="1"/>
  <c r="L103" i="18" l="1"/>
  <c r="L120" i="25" s="1"/>
  <c r="N58" i="18"/>
  <c r="N326" i="25" s="1"/>
  <c r="N154" i="18" l="1"/>
  <c r="N111" i="25" s="1"/>
  <c r="L226" i="25"/>
  <c r="N60" i="21"/>
  <c r="L313" i="25"/>
  <c r="N52" i="21"/>
  <c r="L28" i="18"/>
  <c r="L267" i="25" s="1"/>
  <c r="L10" i="18"/>
  <c r="L43" i="25" s="1"/>
  <c r="N69" i="7"/>
  <c r="N51" i="24" s="1"/>
  <c r="N127" i="18" l="1"/>
  <c r="N178" i="25" s="1"/>
  <c r="N65" i="5"/>
  <c r="N10" i="24" s="1"/>
  <c r="N31" i="5"/>
  <c r="N32" i="24" s="1"/>
  <c r="S15" i="21" l="1"/>
  <c r="S32" i="21"/>
  <c r="S17" i="21"/>
  <c r="P23" i="4"/>
  <c r="P67" i="24" s="1"/>
  <c r="P11" i="4"/>
  <c r="P18" i="24" s="1"/>
  <c r="P16" i="4"/>
  <c r="P31" i="24" s="1"/>
  <c r="P49" i="3" l="1"/>
  <c r="P329" i="25" s="1"/>
  <c r="P28" i="3"/>
  <c r="P42" i="3"/>
  <c r="P263" i="25" s="1"/>
  <c r="P150" i="25" l="1"/>
  <c r="L19" i="25"/>
  <c r="N9" i="4"/>
  <c r="N14" i="24" s="1"/>
  <c r="N238" i="25" l="1"/>
  <c r="N26" i="14"/>
  <c r="N364" i="25" s="1"/>
  <c r="L265" i="25"/>
  <c r="L193" i="25"/>
  <c r="L90" i="5"/>
  <c r="L264" i="25" s="1"/>
  <c r="N15" i="14"/>
  <c r="N219" i="25" s="1"/>
  <c r="L181" i="18"/>
  <c r="L64" i="25" s="1"/>
  <c r="L168" i="18"/>
  <c r="L269" i="25" s="1"/>
  <c r="N55" i="5" l="1"/>
  <c r="N250" i="25" s="1"/>
  <c r="L55" i="5"/>
  <c r="L250" i="25" s="1"/>
  <c r="E55" i="5"/>
  <c r="E250" i="25" s="1"/>
  <c r="E52" i="5"/>
  <c r="E32" i="26" l="1"/>
  <c r="E235" i="25"/>
  <c r="P49" i="5"/>
  <c r="P31" i="25" s="1"/>
  <c r="L109" i="7" l="1"/>
  <c r="L321" i="25" s="1"/>
  <c r="L18" i="25" l="1"/>
  <c r="A2" i="4" l="1"/>
  <c r="A2" i="5"/>
  <c r="A2" i="7"/>
  <c r="A2" i="18"/>
  <c r="A2" i="14"/>
  <c r="A2" i="21"/>
  <c r="A2" i="3"/>
  <c r="L186" i="18" l="1"/>
  <c r="L56" i="5"/>
  <c r="L251" i="25" s="1"/>
  <c r="N56" i="5"/>
  <c r="N251" i="25" s="1"/>
  <c r="L51" i="5"/>
  <c r="L140" i="25" s="1"/>
  <c r="N7" i="18"/>
  <c r="N16" i="25" s="1"/>
  <c r="E8" i="18"/>
  <c r="E18" i="25" s="1"/>
  <c r="E9" i="18"/>
  <c r="E26" i="25" s="1"/>
  <c r="E7" i="18"/>
  <c r="E16" i="25" s="1"/>
  <c r="L7" i="18"/>
  <c r="L16" i="25" s="1"/>
  <c r="L29" i="25" l="1"/>
  <c r="N168" i="18"/>
  <c r="N269" i="25" s="1"/>
  <c r="L162" i="18"/>
  <c r="L75" i="25" s="1"/>
  <c r="L166" i="18"/>
  <c r="L191" i="25" s="1"/>
  <c r="N163" i="18"/>
  <c r="N113" i="25" s="1"/>
  <c r="L183" i="18"/>
  <c r="L161" i="25" s="1"/>
  <c r="L173" i="18"/>
  <c r="L186" i="25" s="1"/>
  <c r="L183" i="25"/>
  <c r="L397" i="25"/>
  <c r="N146" i="18"/>
  <c r="N397" i="25" s="1"/>
  <c r="N135" i="18"/>
  <c r="N61" i="18"/>
  <c r="N371" i="25" s="1"/>
  <c r="N373" i="25"/>
  <c r="L7" i="25"/>
  <c r="N32" i="18"/>
  <c r="N315" i="25" s="1"/>
  <c r="L14" i="18"/>
  <c r="L17" i="26" s="1"/>
  <c r="L127" i="25"/>
  <c r="N253" i="25"/>
  <c r="N108" i="7"/>
  <c r="N286" i="25" s="1"/>
  <c r="N63" i="7"/>
  <c r="N359" i="25" s="1"/>
  <c r="N333" i="25"/>
  <c r="L123" i="25"/>
  <c r="N32" i="7"/>
  <c r="N25" i="25" s="1"/>
  <c r="L32" i="7"/>
  <c r="L25" i="25" s="1"/>
  <c r="N188" i="25"/>
  <c r="L188" i="25"/>
  <c r="L16" i="7"/>
  <c r="L225" i="25" s="1"/>
  <c r="N8" i="7"/>
  <c r="N116" i="25" s="1"/>
  <c r="N11" i="7"/>
  <c r="N224" i="25" s="1"/>
  <c r="L105" i="5"/>
  <c r="L79" i="24" s="1"/>
  <c r="L99" i="5"/>
  <c r="L20" i="24" s="1"/>
  <c r="L88" i="5"/>
  <c r="L33" i="25" s="1"/>
  <c r="N92" i="5"/>
  <c r="N352" i="25" s="1"/>
  <c r="L92" i="5"/>
  <c r="L352" i="25" s="1"/>
  <c r="L61" i="5"/>
  <c r="L350" i="25" s="1"/>
  <c r="L39" i="5"/>
  <c r="L86" i="24" s="1"/>
  <c r="L38" i="5"/>
  <c r="L85" i="24" s="1"/>
  <c r="N40" i="5"/>
  <c r="N87" i="24" s="1"/>
  <c r="N32" i="14"/>
  <c r="N204" i="25" s="1"/>
  <c r="N29" i="14"/>
  <c r="N84" i="24" s="1"/>
  <c r="N28" i="14"/>
  <c r="N57" i="24" s="1"/>
  <c r="L25" i="14"/>
  <c r="L336" i="25" s="1"/>
  <c r="L21" i="14"/>
  <c r="L389" i="25" s="1"/>
  <c r="N19" i="14"/>
  <c r="N337" i="25" s="1"/>
  <c r="N14" i="14"/>
  <c r="N217" i="25" s="1"/>
  <c r="E50" i="5"/>
  <c r="E112" i="25" s="1"/>
  <c r="S27" i="21"/>
  <c r="P71" i="3"/>
  <c r="P410" i="25" s="1"/>
  <c r="P68" i="5"/>
  <c r="P28" i="24" s="1"/>
  <c r="P42" i="4"/>
  <c r="P110" i="24" s="1"/>
  <c r="P24" i="21"/>
  <c r="N295" i="25" l="1"/>
  <c r="N35" i="26"/>
  <c r="L97" i="25"/>
  <c r="E37" i="21"/>
  <c r="N120" i="18"/>
  <c r="N100" i="25" s="1"/>
  <c r="N157" i="18" l="1"/>
  <c r="N270" i="25" s="1"/>
  <c r="L200" i="25"/>
  <c r="L51" i="25"/>
  <c r="L137" i="25"/>
  <c r="N293" i="25" l="1"/>
  <c r="L155" i="18"/>
  <c r="L162" i="25" s="1"/>
  <c r="N155" i="18"/>
  <c r="N162" i="25" s="1"/>
  <c r="N151" i="18"/>
  <c r="N409" i="25" s="1"/>
  <c r="L153" i="18"/>
  <c r="L79" i="25" s="1"/>
  <c r="N79" i="25"/>
  <c r="N180" i="18"/>
  <c r="N292" i="25" s="1"/>
  <c r="L177" i="18"/>
  <c r="L255" i="25" s="1"/>
  <c r="N178" i="18"/>
  <c r="N276" i="25" s="1"/>
  <c r="N177" i="18" l="1"/>
  <c r="N255" i="25" s="1"/>
  <c r="L167" i="18"/>
  <c r="L242" i="25" s="1"/>
  <c r="L44" i="25"/>
  <c r="N160" i="18"/>
  <c r="N28" i="25" s="1"/>
  <c r="L145" i="18"/>
  <c r="L395" i="25" s="1"/>
  <c r="L142" i="18"/>
  <c r="L372" i="25" s="1"/>
  <c r="L138" i="18"/>
  <c r="L331" i="25" s="1"/>
  <c r="N136" i="18" l="1"/>
  <c r="L287" i="25"/>
  <c r="N131" i="18"/>
  <c r="N240" i="25" s="1"/>
  <c r="L240" i="25"/>
  <c r="L238" i="25"/>
  <c r="L119" i="18"/>
  <c r="L89" i="25" s="1"/>
  <c r="N119" i="18"/>
  <c r="N89" i="25" s="1"/>
  <c r="L118" i="18"/>
  <c r="L41" i="25"/>
  <c r="N114" i="18"/>
  <c r="N41" i="25" s="1"/>
  <c r="L37" i="25"/>
  <c r="L112" i="18"/>
  <c r="L27" i="25" s="1"/>
  <c r="N110" i="18"/>
  <c r="N23" i="25" s="1"/>
  <c r="L101" i="18"/>
  <c r="L56" i="25" s="1"/>
  <c r="L100" i="18"/>
  <c r="L36" i="25" s="1"/>
  <c r="L99" i="18"/>
  <c r="L35" i="25" s="1"/>
  <c r="L98" i="18"/>
  <c r="L21" i="25" s="1"/>
  <c r="N97" i="18"/>
  <c r="N20" i="25" s="1"/>
  <c r="N49" i="24"/>
  <c r="L49" i="24"/>
  <c r="N48" i="24"/>
  <c r="L92" i="18"/>
  <c r="L365" i="25" s="1"/>
  <c r="L57" i="5"/>
  <c r="L311" i="25" s="1"/>
  <c r="N82" i="18"/>
  <c r="N170" i="25" s="1"/>
  <c r="N80" i="18"/>
  <c r="N138" i="25" s="1"/>
  <c r="L80" i="18"/>
  <c r="L138" i="25" s="1"/>
  <c r="N72" i="18"/>
  <c r="N58" i="25" s="1"/>
  <c r="N71" i="18"/>
  <c r="N382" i="25"/>
  <c r="N341" i="25"/>
  <c r="N36" i="18"/>
  <c r="N339" i="25" s="1"/>
  <c r="L98" i="7"/>
  <c r="L360" i="25" s="1"/>
  <c r="N98" i="7"/>
  <c r="N360" i="25" s="1"/>
  <c r="N330" i="25"/>
  <c r="L96" i="7"/>
  <c r="L314" i="25" s="1"/>
  <c r="N96" i="7"/>
  <c r="N314" i="25" s="1"/>
  <c r="L94" i="7"/>
  <c r="L213" i="25" s="1"/>
  <c r="N207" i="25"/>
  <c r="N76" i="7"/>
  <c r="N228" i="25" s="1"/>
  <c r="L75" i="7"/>
  <c r="L156" i="25" s="1"/>
  <c r="L71" i="7"/>
  <c r="L68" i="24" s="1"/>
  <c r="L51" i="24"/>
  <c r="N112" i="7"/>
  <c r="N134" i="25" s="1"/>
  <c r="L286" i="25"/>
  <c r="L88" i="25" l="1"/>
  <c r="L19" i="26"/>
  <c r="N301" i="25"/>
  <c r="N40" i="25"/>
  <c r="L66" i="3"/>
  <c r="L392" i="25" s="1"/>
  <c r="L56" i="3"/>
  <c r="L368" i="25" s="1"/>
  <c r="N52" i="3"/>
  <c r="N346" i="25" s="1"/>
  <c r="N45" i="3"/>
  <c r="N318" i="25" s="1"/>
  <c r="N257" i="25"/>
  <c r="L34" i="3"/>
  <c r="L205" i="25" s="1"/>
  <c r="L31" i="3"/>
  <c r="L166" i="25" s="1"/>
  <c r="L30" i="3"/>
  <c r="L165" i="25" s="1"/>
  <c r="N44" i="4"/>
  <c r="N112" i="24" s="1"/>
  <c r="L44" i="4"/>
  <c r="L112" i="24" s="1"/>
  <c r="N29" i="4"/>
  <c r="N52" i="24" s="1"/>
  <c r="N6" i="4"/>
  <c r="N7" i="24" s="1"/>
  <c r="L46" i="4"/>
  <c r="L114" i="24" s="1"/>
  <c r="N46" i="4"/>
  <c r="N114" i="24" s="1"/>
  <c r="L33" i="14"/>
  <c r="L218" i="25" s="1"/>
  <c r="L31" i="7"/>
  <c r="L17" i="25" s="1"/>
  <c r="N19" i="7"/>
  <c r="N38" i="25" s="1"/>
  <c r="L133" i="18"/>
  <c r="L274" i="25" s="1"/>
  <c r="N9" i="18" l="1"/>
  <c r="N26" i="25" s="1"/>
  <c r="N55" i="21"/>
  <c r="N80" i="7"/>
  <c r="N30" i="24" s="1"/>
  <c r="L237" i="25"/>
  <c r="N179" i="25"/>
  <c r="L35" i="18"/>
  <c r="L322" i="25" s="1"/>
  <c r="N20" i="14"/>
  <c r="N363" i="25" s="1"/>
  <c r="L88" i="18"/>
  <c r="L326" i="25"/>
  <c r="L302" i="25" l="1"/>
  <c r="L41" i="5"/>
  <c r="L89" i="24" s="1"/>
  <c r="L87" i="25"/>
  <c r="L103" i="5" l="1"/>
  <c r="L40" i="24" s="1"/>
  <c r="L78" i="25"/>
  <c r="N237" i="25" l="1"/>
  <c r="L58" i="5"/>
  <c r="L320" i="25" s="1"/>
  <c r="N52" i="18"/>
  <c r="N193" i="25" s="1"/>
  <c r="E83" i="7" l="1"/>
  <c r="E167" i="25" s="1"/>
  <c r="L52" i="25" l="1"/>
  <c r="N81" i="18" l="1"/>
  <c r="N147" i="25" s="1"/>
  <c r="L48" i="5"/>
  <c r="L30" i="25" s="1"/>
  <c r="N10" i="14"/>
  <c r="N180" i="25" s="1"/>
  <c r="N54" i="5" l="1"/>
  <c r="N249" i="25" s="1"/>
  <c r="L117" i="18"/>
  <c r="L68" i="5"/>
  <c r="L28" i="24" s="1"/>
  <c r="L12" i="18"/>
  <c r="L73" i="25" s="1"/>
  <c r="L55" i="25" l="1"/>
  <c r="N56" i="3"/>
  <c r="N368" i="25" s="1"/>
  <c r="L172" i="18"/>
  <c r="L185" i="25" s="1"/>
  <c r="L90" i="18"/>
  <c r="L334" i="25" s="1"/>
  <c r="N137" i="18"/>
  <c r="N327" i="25" s="1"/>
  <c r="N51" i="3"/>
  <c r="N99" i="18"/>
  <c r="N35" i="25" s="1"/>
  <c r="N54" i="26" l="1"/>
  <c r="N345" i="25"/>
  <c r="L239" i="25"/>
  <c r="L330" i="25"/>
  <c r="N39" i="21" l="1"/>
  <c r="N30" i="5"/>
  <c r="N27" i="24" s="1"/>
  <c r="N226" i="25"/>
  <c r="L139" i="18" l="1"/>
  <c r="L335" i="25" s="1"/>
  <c r="N139" i="18"/>
  <c r="N335" i="25" s="1"/>
  <c r="N25" i="14" l="1"/>
  <c r="N336" i="25" s="1"/>
  <c r="N24" i="14"/>
  <c r="N307" i="25" s="1"/>
  <c r="S51" i="3" l="1"/>
  <c r="S345" i="25" l="1"/>
  <c r="S54" i="26"/>
  <c r="S79" i="3"/>
  <c r="N17" i="14" l="1"/>
  <c r="N303" i="25" s="1"/>
  <c r="S105" i="7" l="1"/>
  <c r="S195" i="25" s="1"/>
  <c r="N81" i="25" l="1"/>
  <c r="N165" i="18" l="1"/>
  <c r="N160" i="25" s="1"/>
  <c r="N153" i="25"/>
  <c r="N7" i="7"/>
  <c r="N59" i="25" s="1"/>
  <c r="L12" i="7"/>
  <c r="L257" i="25" s="1"/>
  <c r="L11" i="7"/>
  <c r="L224" i="25" s="1"/>
  <c r="L10" i="7"/>
  <c r="L172" i="25" s="1"/>
  <c r="L9" i="7"/>
  <c r="L153" i="25" s="1"/>
  <c r="L116" i="25"/>
  <c r="L7" i="7"/>
  <c r="L59" i="25" s="1"/>
  <c r="E11" i="21" l="1"/>
  <c r="N79" i="18"/>
  <c r="N129" i="25" s="1"/>
  <c r="S18" i="7" l="1"/>
  <c r="S15" i="25" s="1"/>
  <c r="N118" i="18" l="1"/>
  <c r="N88" i="25" l="1"/>
  <c r="N19" i="26"/>
  <c r="P54" i="5"/>
  <c r="P249" i="25" s="1"/>
  <c r="E54" i="5"/>
  <c r="E249" i="25" s="1"/>
  <c r="E51" i="5"/>
  <c r="E140" i="25" s="1"/>
  <c r="P37" i="5"/>
  <c r="P78" i="24" s="1"/>
  <c r="P31" i="5"/>
  <c r="P32" i="24" s="1"/>
  <c r="P58" i="5"/>
  <c r="P320" i="25" s="1"/>
  <c r="P34" i="3"/>
  <c r="P205" i="25" s="1"/>
  <c r="P6" i="3"/>
  <c r="P9" i="25" s="1"/>
  <c r="P9" i="3"/>
  <c r="P34" i="25" s="1"/>
  <c r="S29" i="24"/>
  <c r="P29" i="3" l="1"/>
  <c r="P164" i="25" s="1"/>
  <c r="P87" i="5"/>
  <c r="P32" i="25" s="1"/>
  <c r="P93" i="25"/>
  <c r="N70" i="5" l="1"/>
  <c r="N39" i="24" s="1"/>
  <c r="N23" i="7"/>
  <c r="N107" i="25" s="1"/>
  <c r="L60" i="25" l="1"/>
  <c r="N49" i="7"/>
  <c r="N222" i="25" s="1"/>
  <c r="L30" i="5"/>
  <c r="L27" i="24" s="1"/>
  <c r="N64" i="18" l="1"/>
  <c r="N394" i="25" s="1"/>
  <c r="N29" i="5"/>
  <c r="N22" i="24" s="1"/>
  <c r="L66" i="5" l="1"/>
  <c r="L21" i="24" s="1"/>
  <c r="N50" i="3" l="1"/>
  <c r="N344" i="25" s="1"/>
  <c r="L236" i="25" l="1"/>
  <c r="N62" i="7"/>
  <c r="N353" i="25" s="1"/>
  <c r="L102" i="25"/>
  <c r="N36" i="5"/>
  <c r="N63" i="24" s="1"/>
  <c r="L45" i="14" l="1"/>
  <c r="L283" i="25" s="1"/>
  <c r="N14" i="18" l="1"/>
  <c r="N17" i="26" s="1"/>
  <c r="N97" i="25" l="1"/>
  <c r="L68" i="3"/>
  <c r="L398" i="25" s="1"/>
  <c r="N34" i="14" l="1"/>
  <c r="N308" i="25" s="1"/>
  <c r="S77" i="5" l="1"/>
  <c r="S72" i="24" s="1"/>
  <c r="P18" i="3" l="1"/>
  <c r="P90" i="25" s="1"/>
  <c r="S11" i="3" l="1"/>
  <c r="S65" i="25" s="1"/>
  <c r="P47" i="4"/>
  <c r="P115" i="24" s="1"/>
  <c r="N98" i="5" l="1"/>
  <c r="N17" i="24" s="1"/>
  <c r="L112" i="7"/>
  <c r="L134" i="25" s="1"/>
  <c r="L71" i="5"/>
  <c r="L43" i="24" s="1"/>
  <c r="L10" i="14" l="1"/>
  <c r="L180" i="25" s="1"/>
  <c r="L132" i="18" l="1"/>
  <c r="L268" i="25" s="1"/>
  <c r="N132" i="18"/>
  <c r="N268" i="25" s="1"/>
  <c r="L129" i="18" l="1"/>
  <c r="L230" i="25" s="1"/>
  <c r="P143" i="18" l="1"/>
  <c r="P379" i="25" s="1"/>
  <c r="E14" i="7" l="1"/>
  <c r="E83" i="25" s="1"/>
  <c r="E20" i="3" l="1"/>
  <c r="E104" i="25" s="1"/>
  <c r="L50" i="25" l="1"/>
  <c r="P49" i="7" l="1"/>
  <c r="P222" i="25" s="1"/>
  <c r="N71" i="5" l="1"/>
  <c r="N43" i="24" s="1"/>
  <c r="P18" i="14" l="1"/>
  <c r="P306" i="25" s="1"/>
  <c r="E12" i="7" l="1"/>
  <c r="E257" i="25" s="1"/>
  <c r="E11" i="7"/>
  <c r="E224" i="25" s="1"/>
  <c r="E10" i="7"/>
  <c r="E172" i="25" s="1"/>
  <c r="E9" i="7"/>
  <c r="E153" i="25" s="1"/>
  <c r="E8" i="7"/>
  <c r="E116" i="25" s="1"/>
  <c r="E7" i="7"/>
  <c r="E59" i="25" s="1"/>
  <c r="N145" i="18" l="1"/>
  <c r="N395" i="25" s="1"/>
  <c r="L19" i="14"/>
  <c r="L337" i="25" s="1"/>
  <c r="N148" i="25" l="1"/>
  <c r="L33" i="5"/>
  <c r="L55" i="24" s="1"/>
  <c r="N11" i="3"/>
  <c r="N65" i="25" s="1"/>
  <c r="L110" i="18"/>
  <c r="L23" i="25" s="1"/>
  <c r="L109" i="18"/>
  <c r="L22" i="25" s="1"/>
  <c r="N17" i="18" l="1"/>
  <c r="N118" i="25" s="1"/>
  <c r="L160" i="18"/>
  <c r="L28" i="25" s="1"/>
  <c r="P21" i="21" l="1"/>
  <c r="N59" i="5" l="1"/>
  <c r="N348" i="25" s="1"/>
  <c r="N169" i="25"/>
  <c r="N103" i="18"/>
  <c r="N120" i="25" s="1"/>
  <c r="P31" i="3"/>
  <c r="P166" i="25" s="1"/>
  <c r="E30" i="3"/>
  <c r="E165" i="25" s="1"/>
  <c r="L45" i="7" l="1"/>
  <c r="L197" i="25" s="1"/>
  <c r="L32" i="14" l="1"/>
  <c r="L204" i="25" s="1"/>
  <c r="L37" i="5" l="1"/>
  <c r="L78" i="24" s="1"/>
  <c r="G179" i="18" l="1"/>
  <c r="G279" i="25" s="1"/>
  <c r="L178" i="18"/>
  <c r="L276" i="25" s="1"/>
  <c r="E178" i="18"/>
  <c r="E276" i="25" s="1"/>
  <c r="G180" i="18"/>
  <c r="G292" i="25" s="1"/>
  <c r="N179" i="18"/>
  <c r="N279" i="25" s="1"/>
  <c r="L179" i="18"/>
  <c r="L279" i="25" s="1"/>
  <c r="E179" i="18"/>
  <c r="E279" i="25" s="1"/>
  <c r="G176" i="18"/>
  <c r="G231" i="25" s="1"/>
  <c r="E180" i="18"/>
  <c r="E292" i="25" s="1"/>
  <c r="E176" i="18"/>
  <c r="E231" i="25" s="1"/>
  <c r="L180" i="18"/>
  <c r="L292" i="25" s="1"/>
  <c r="N176" i="18"/>
  <c r="N231" i="25" s="1"/>
  <c r="L176" i="18"/>
  <c r="L231" i="25" s="1"/>
  <c r="E177" i="18"/>
  <c r="E255" i="25" s="1"/>
  <c r="N296" i="25"/>
  <c r="E169" i="18"/>
  <c r="E296" i="25" s="1"/>
  <c r="E168" i="18"/>
  <c r="E269" i="25" s="1"/>
  <c r="N167" i="18"/>
  <c r="N242" i="25" s="1"/>
  <c r="E167" i="18"/>
  <c r="E242" i="25" s="1"/>
  <c r="L62" i="5" l="1"/>
  <c r="L362" i="25" s="1"/>
  <c r="L65" i="21" l="1"/>
  <c r="E64" i="21" l="1"/>
  <c r="L48" i="24" l="1"/>
  <c r="E157" i="18" l="1"/>
  <c r="E270" i="25" s="1"/>
  <c r="E156" i="18"/>
  <c r="E232" i="25" s="1"/>
  <c r="N161" i="18" l="1"/>
  <c r="N44" i="25" s="1"/>
  <c r="P125" i="18"/>
  <c r="P149" i="25" s="1"/>
  <c r="P132" i="18"/>
  <c r="P268" i="25" s="1"/>
  <c r="L63" i="5" l="1"/>
  <c r="L366" i="25" s="1"/>
  <c r="P58" i="21" l="1"/>
  <c r="E46" i="7" l="1"/>
  <c r="E198" i="25" s="1"/>
  <c r="N45" i="7" l="1"/>
  <c r="N197" i="25" s="1"/>
  <c r="E47" i="7"/>
  <c r="E199" i="25" s="1"/>
  <c r="E54" i="21" l="1"/>
  <c r="E55" i="21"/>
  <c r="E65" i="21"/>
  <c r="E63" i="21"/>
  <c r="E43" i="26" s="1"/>
  <c r="N62" i="21"/>
  <c r="L62" i="21"/>
  <c r="E62" i="21"/>
  <c r="E61" i="21" l="1"/>
  <c r="E59" i="21"/>
  <c r="E60" i="21"/>
  <c r="E58" i="21"/>
  <c r="L31" i="18" l="1"/>
  <c r="L309" i="25" s="1"/>
  <c r="S27" i="7" l="1"/>
  <c r="S9" i="21"/>
  <c r="S226" i="25" l="1"/>
  <c r="S30" i="26"/>
  <c r="N64" i="3"/>
  <c r="N383" i="25" s="1"/>
  <c r="N18" i="7"/>
  <c r="N15" i="25" s="1"/>
  <c r="N53" i="5" l="1"/>
  <c r="N246" i="25" s="1"/>
  <c r="N144" i="18"/>
  <c r="N386" i="25" s="1"/>
  <c r="N18" i="4"/>
  <c r="N41" i="24" s="1"/>
  <c r="L78" i="7" l="1"/>
  <c r="L377" i="25" s="1"/>
  <c r="N60" i="5" l="1"/>
  <c r="N349" i="25" s="1"/>
  <c r="N164" i="18" l="1"/>
  <c r="N130" i="25" s="1"/>
  <c r="N112" i="18"/>
  <c r="N27" i="25" s="1"/>
  <c r="L40" i="18"/>
  <c r="L6" i="25" s="1"/>
  <c r="N38" i="18"/>
  <c r="N342" i="25" s="1"/>
  <c r="N20" i="18"/>
  <c r="N127" i="25" s="1"/>
  <c r="N78" i="25"/>
  <c r="N101" i="18"/>
  <c r="N56" i="25" s="1"/>
  <c r="N59" i="18" l="1"/>
  <c r="N343" i="25" s="1"/>
  <c r="L59" i="18"/>
  <c r="L343" i="25" s="1"/>
  <c r="P36" i="18" l="1"/>
  <c r="P339" i="25" s="1"/>
  <c r="P13" i="18"/>
  <c r="P96" i="25" s="1"/>
  <c r="P30" i="18"/>
  <c r="P299" i="25" s="1"/>
  <c r="L59" i="5" l="1"/>
  <c r="L348" i="25" s="1"/>
  <c r="N52" i="7" l="1"/>
  <c r="N259" i="25" s="1"/>
  <c r="L86" i="25" l="1"/>
  <c r="L64" i="3"/>
  <c r="L383" i="25" s="1"/>
  <c r="N71" i="7"/>
  <c r="N68" i="24" s="1"/>
  <c r="N65" i="18" l="1"/>
  <c r="N396" i="25" s="1"/>
  <c r="N69" i="5" l="1"/>
  <c r="N33" i="24" s="1"/>
  <c r="N11" i="18"/>
  <c r="N63" i="25" s="1"/>
  <c r="L39" i="21"/>
  <c r="L88" i="7" l="1"/>
  <c r="L93" i="25" s="1"/>
  <c r="N33" i="5" l="1"/>
  <c r="N55" i="24" s="1"/>
  <c r="N60" i="3" l="1"/>
  <c r="N375" i="25" s="1"/>
  <c r="N60" i="7" l="1"/>
  <c r="N332" i="25" s="1"/>
  <c r="N105" i="5" l="1"/>
  <c r="N79" i="24" s="1"/>
  <c r="N45" i="5" l="1"/>
  <c r="N99" i="24" s="1"/>
  <c r="L45" i="5"/>
  <c r="L99" i="24" s="1"/>
  <c r="P135" i="18" l="1"/>
  <c r="P32" i="4"/>
  <c r="P80" i="24" s="1"/>
  <c r="P42" i="14"/>
  <c r="P210" i="25" s="1"/>
  <c r="P39" i="14"/>
  <c r="P136" i="25" s="1"/>
  <c r="P48" i="3"/>
  <c r="P328" i="25" s="1"/>
  <c r="P61" i="7"/>
  <c r="P333" i="25" s="1"/>
  <c r="P295" i="25" l="1"/>
  <c r="P35" i="26"/>
  <c r="E21" i="14"/>
  <c r="E389" i="25" s="1"/>
  <c r="N149" i="18" l="1"/>
  <c r="N408" i="25" s="1"/>
  <c r="L151" i="18"/>
  <c r="L409" i="25" s="1"/>
  <c r="L149" i="18"/>
  <c r="L408" i="25" s="1"/>
  <c r="N289" i="25" l="1"/>
  <c r="N104" i="5" l="1"/>
  <c r="N76" i="24" s="1"/>
  <c r="N170" i="18" l="1"/>
  <c r="N183" i="25" s="1"/>
  <c r="E170" i="18"/>
  <c r="E183" i="25" s="1"/>
  <c r="N53" i="7" l="1"/>
  <c r="N265" i="25" s="1"/>
  <c r="N57" i="5" l="1"/>
  <c r="N311" i="25" s="1"/>
  <c r="E27" i="7" l="1"/>
  <c r="E226" i="25" l="1"/>
  <c r="E30" i="26"/>
  <c r="L98" i="5"/>
  <c r="L17" i="24" s="1"/>
  <c r="N18" i="14" l="1"/>
  <c r="N306" i="25" s="1"/>
  <c r="L34" i="14" l="1"/>
  <c r="L308" i="25" s="1"/>
  <c r="E145" i="18" l="1"/>
  <c r="E395" i="25" s="1"/>
  <c r="L164" i="18" l="1"/>
  <c r="L130" i="25" s="1"/>
  <c r="N35" i="21"/>
  <c r="L35" i="21"/>
  <c r="E154" i="18" l="1"/>
  <c r="E111" i="25" s="1"/>
  <c r="N40" i="18" l="1"/>
  <c r="N6" i="25" s="1"/>
  <c r="N91" i="5" l="1"/>
  <c r="N351" i="25" s="1"/>
  <c r="L60" i="3" l="1"/>
  <c r="L375" i="25" s="1"/>
  <c r="E196" i="25" l="1"/>
  <c r="N94" i="5"/>
  <c r="N105" i="24" s="1"/>
  <c r="A1" i="18"/>
  <c r="N87" i="7" l="1"/>
  <c r="N53" i="25" s="1"/>
  <c r="N68" i="18" l="1"/>
  <c r="N93" i="24" s="1"/>
  <c r="L68" i="18"/>
  <c r="L93" i="24" s="1"/>
  <c r="N97" i="5" l="1"/>
  <c r="N11" i="24" s="1"/>
  <c r="N175" i="18" l="1"/>
  <c r="N202" i="25" s="1"/>
  <c r="E71" i="3" l="1"/>
  <c r="E410" i="25" s="1"/>
  <c r="N93" i="5" l="1"/>
  <c r="N358" i="25" s="1"/>
  <c r="L125" i="18" l="1"/>
  <c r="L149" i="25" s="1"/>
  <c r="L116" i="18"/>
  <c r="L54" i="25" s="1"/>
  <c r="N16" i="14" l="1"/>
  <c r="N282" i="25" s="1"/>
  <c r="N80" i="5" l="1"/>
  <c r="N94" i="24" s="1"/>
  <c r="E28" i="3" l="1"/>
  <c r="E150" i="25" s="1"/>
  <c r="E59" i="3" l="1"/>
  <c r="E374" i="25" s="1"/>
  <c r="E13" i="21" l="1"/>
  <c r="N46" i="21" l="1"/>
  <c r="N174" i="18"/>
  <c r="N187" i="25" s="1"/>
  <c r="N138" i="18"/>
  <c r="N331" i="25" s="1"/>
  <c r="L47" i="5"/>
  <c r="L12" i="25" s="1"/>
  <c r="N78" i="5"/>
  <c r="N75" i="24" s="1"/>
  <c r="N37" i="5" l="1"/>
  <c r="N78" i="24" s="1"/>
  <c r="L26" i="18" l="1"/>
  <c r="L244" i="25" s="1"/>
  <c r="N114" i="7"/>
  <c r="N254" i="25" s="1"/>
  <c r="N88" i="7"/>
  <c r="N93" i="25" s="1"/>
  <c r="N59" i="7"/>
  <c r="N325" i="25" s="1"/>
  <c r="N102" i="7"/>
  <c r="N125" i="25" s="1"/>
  <c r="N58" i="5" l="1"/>
  <c r="N320" i="25" s="1"/>
  <c r="N63" i="3"/>
  <c r="N381" i="25" s="1"/>
  <c r="L72" i="5" l="1"/>
  <c r="L45" i="24" s="1"/>
  <c r="N72" i="5"/>
  <c r="N45" i="24" s="1"/>
  <c r="L113" i="7" l="1"/>
  <c r="L177" i="25" s="1"/>
  <c r="N33" i="14" l="1"/>
  <c r="N218" i="25" s="1"/>
  <c r="L26" i="14"/>
  <c r="L364" i="25" s="1"/>
  <c r="N89" i="18" l="1"/>
  <c r="N310" i="25" s="1"/>
  <c r="E15" i="21" l="1"/>
  <c r="E7" i="21"/>
  <c r="E8" i="21"/>
  <c r="N39" i="5" l="1"/>
  <c r="N86" i="24" s="1"/>
  <c r="E35" i="21" l="1"/>
  <c r="E36" i="21"/>
  <c r="N28" i="5" l="1"/>
  <c r="N8" i="24" s="1"/>
  <c r="N184" i="18" l="1"/>
  <c r="N203" i="25" s="1"/>
  <c r="E103" i="18" l="1"/>
  <c r="E120" i="25" s="1"/>
  <c r="L174" i="18" l="1"/>
  <c r="L187" i="25" s="1"/>
  <c r="E173" i="18"/>
  <c r="E186" i="25" s="1"/>
  <c r="N66" i="5" l="1"/>
  <c r="N21" i="24" s="1"/>
  <c r="N185" i="18" l="1"/>
  <c r="N233" i="25" s="1"/>
  <c r="L185" i="18"/>
  <c r="L233" i="25" s="1"/>
  <c r="E159" i="18" l="1"/>
  <c r="E194" i="25" s="1"/>
  <c r="N334" i="25" l="1"/>
  <c r="L42" i="18" l="1"/>
  <c r="L8" i="25" s="1"/>
  <c r="L15" i="18"/>
  <c r="L98" i="25" s="1"/>
  <c r="L69" i="5"/>
  <c r="L33" i="24" s="1"/>
  <c r="N47" i="5"/>
  <c r="N12" i="25" s="1"/>
  <c r="N32" i="5"/>
  <c r="N35" i="24" s="1"/>
  <c r="N30" i="4" l="1"/>
  <c r="N54" i="24" s="1"/>
  <c r="N91" i="7" l="1"/>
  <c r="N157" i="25" s="1"/>
  <c r="N113" i="7" l="1"/>
  <c r="N177" i="25" s="1"/>
  <c r="N123" i="25" l="1"/>
  <c r="E32" i="21" l="1"/>
  <c r="N191" i="25" l="1"/>
  <c r="L31" i="5" l="1"/>
  <c r="L32" i="24" s="1"/>
  <c r="L76" i="7"/>
  <c r="L228" i="25" s="1"/>
  <c r="N64" i="5" l="1"/>
  <c r="N376" i="25" s="1"/>
  <c r="N41" i="14"/>
  <c r="N190" i="25" s="1"/>
  <c r="L41" i="14"/>
  <c r="L190" i="25" s="1"/>
  <c r="E15" i="7" l="1"/>
  <c r="E188" i="25" s="1"/>
  <c r="N181" i="18" l="1"/>
  <c r="N64" i="25" s="1"/>
  <c r="L163" i="18" l="1"/>
  <c r="L113" i="25" s="1"/>
  <c r="E160" i="18" l="1"/>
  <c r="E28" i="25" s="1"/>
  <c r="L114" i="7" l="1"/>
  <c r="L254" i="25" s="1"/>
  <c r="E113" i="7"/>
  <c r="E177" i="25" s="1"/>
  <c r="E114" i="7"/>
  <c r="E254" i="25" s="1"/>
  <c r="N31" i="7" l="1"/>
  <c r="N17" i="25" s="1"/>
  <c r="N67" i="3" l="1"/>
  <c r="N393" i="25" s="1"/>
  <c r="E88" i="7" l="1"/>
  <c r="E93" i="25" s="1"/>
  <c r="E153" i="18" l="1"/>
  <c r="E79" i="25" s="1"/>
  <c r="E31" i="21" l="1"/>
  <c r="E33" i="21"/>
  <c r="E93" i="7" l="1"/>
  <c r="E207" i="25" s="1"/>
  <c r="E76" i="7" l="1"/>
  <c r="E228" i="25" s="1"/>
  <c r="E88" i="18" l="1"/>
  <c r="E302" i="25" l="1"/>
  <c r="L82" i="18" l="1"/>
  <c r="L170" i="25" s="1"/>
  <c r="S44" i="21" l="1"/>
  <c r="N91" i="18" l="1"/>
  <c r="N338" i="25" s="1"/>
  <c r="N62" i="5" l="1"/>
  <c r="N362" i="25" s="1"/>
  <c r="N61" i="5" l="1"/>
  <c r="N350" i="25" s="1"/>
  <c r="E84" i="7" l="1"/>
  <c r="E214" i="25" s="1"/>
  <c r="L182" i="18" l="1"/>
  <c r="L131" i="25" s="1"/>
  <c r="N182" i="18"/>
  <c r="N131" i="25" s="1"/>
  <c r="E182" i="18"/>
  <c r="E131" i="25" s="1"/>
  <c r="N162" i="18"/>
  <c r="N75" i="25" s="1"/>
  <c r="N183" i="18"/>
  <c r="N161" i="25" s="1"/>
  <c r="E163" i="18"/>
  <c r="E113" i="25" s="1"/>
  <c r="E164" i="18"/>
  <c r="E130" i="25" s="1"/>
  <c r="E165" i="18"/>
  <c r="E160" i="25" s="1"/>
  <c r="E162" i="18"/>
  <c r="E75" i="25" s="1"/>
  <c r="E185" i="18"/>
  <c r="E233" i="25" s="1"/>
  <c r="E183" i="18"/>
  <c r="E161" i="25" s="1"/>
  <c r="E186" i="18" l="1"/>
  <c r="E184" i="18"/>
  <c r="E203" i="25" s="1"/>
  <c r="E175" i="18"/>
  <c r="E202" i="25" s="1"/>
  <c r="E174" i="18"/>
  <c r="E187" i="25" s="1"/>
  <c r="E172" i="18"/>
  <c r="E185" i="25" s="1"/>
  <c r="E171" i="18"/>
  <c r="E184" i="25" s="1"/>
  <c r="E166" i="18"/>
  <c r="E191" i="25" s="1"/>
  <c r="E181" i="18"/>
  <c r="E64" i="25" s="1"/>
  <c r="E161" i="18"/>
  <c r="E44" i="25" s="1"/>
  <c r="E158" i="18"/>
  <c r="E155" i="18"/>
  <c r="E162" i="25" s="1"/>
  <c r="E152" i="18"/>
  <c r="E68" i="25" s="1"/>
  <c r="E150" i="18"/>
  <c r="E13" i="25" s="1"/>
  <c r="E293" i="25" l="1"/>
  <c r="E41" i="26"/>
  <c r="E29" i="25"/>
  <c r="N35" i="14"/>
  <c r="N340" i="25" s="1"/>
  <c r="E43" i="21" l="1"/>
  <c r="E84" i="18" l="1"/>
  <c r="E239" i="25" l="1"/>
  <c r="E27" i="26"/>
  <c r="E22" i="3" l="1"/>
  <c r="E114" i="25" s="1"/>
  <c r="L49" i="7" l="1"/>
  <c r="L222" i="25" s="1"/>
  <c r="E101" i="7" l="1"/>
  <c r="E94" i="25" s="1"/>
  <c r="N111" i="7" l="1"/>
  <c r="N95" i="25" s="1"/>
  <c r="N78" i="7" l="1"/>
  <c r="N377" i="25" s="1"/>
  <c r="E18" i="7" l="1"/>
  <c r="E15" i="25" s="1"/>
  <c r="E31" i="3" l="1"/>
  <c r="E166" i="25" s="1"/>
  <c r="N111" i="18" l="1"/>
  <c r="N24" i="25" s="1"/>
  <c r="E19" i="3" l="1"/>
  <c r="E14" i="3"/>
  <c r="E72" i="25" s="1"/>
  <c r="E24" i="3"/>
  <c r="E139" i="25" s="1"/>
  <c r="E28" i="7"/>
  <c r="E18" i="26" l="1"/>
  <c r="E91" i="25"/>
  <c r="E258" i="25"/>
  <c r="E14" i="21"/>
  <c r="N67" i="5"/>
  <c r="N24" i="24" s="1"/>
  <c r="E80" i="18"/>
  <c r="E138" i="25" s="1"/>
  <c r="L32" i="18"/>
  <c r="L315" i="25" s="1"/>
  <c r="E52" i="21"/>
  <c r="L67" i="21"/>
  <c r="E56" i="18"/>
  <c r="E12" i="21"/>
  <c r="E16" i="21"/>
  <c r="E45" i="26" s="1"/>
  <c r="E57" i="7"/>
  <c r="E298" i="25" s="1"/>
  <c r="E51" i="3"/>
  <c r="E60" i="3"/>
  <c r="E375" i="25" s="1"/>
  <c r="E64" i="5"/>
  <c r="E376" i="25" s="1"/>
  <c r="E62" i="3"/>
  <c r="L136" i="18"/>
  <c r="E109" i="7"/>
  <c r="E321" i="25" s="1"/>
  <c r="E43" i="3"/>
  <c r="E56" i="7"/>
  <c r="Q1" i="21"/>
  <c r="E46" i="21"/>
  <c r="E41" i="21"/>
  <c r="E39" i="21"/>
  <c r="E42" i="21"/>
  <c r="E44" i="21"/>
  <c r="E45" i="21"/>
  <c r="E47" i="21"/>
  <c r="E50" i="21"/>
  <c r="E51" i="21"/>
  <c r="E67" i="21"/>
  <c r="E37" i="7"/>
  <c r="E25" i="14"/>
  <c r="E13" i="3"/>
  <c r="E71" i="25" s="1"/>
  <c r="E16" i="3"/>
  <c r="E77" i="25" s="1"/>
  <c r="E22" i="7"/>
  <c r="E86" i="25" s="1"/>
  <c r="E56" i="21"/>
  <c r="E57" i="21"/>
  <c r="N48" i="18"/>
  <c r="N102" i="25" s="1"/>
  <c r="E40" i="21"/>
  <c r="E9" i="21"/>
  <c r="E10" i="21"/>
  <c r="E6" i="21"/>
  <c r="E11" i="3"/>
  <c r="E65" i="25" s="1"/>
  <c r="L35" i="14"/>
  <c r="L340" i="25" s="1"/>
  <c r="E35" i="14"/>
  <c r="E340" i="25" s="1"/>
  <c r="E34" i="14"/>
  <c r="E308" i="25" s="1"/>
  <c r="E33" i="14"/>
  <c r="E218" i="25" s="1"/>
  <c r="E32" i="14"/>
  <c r="E204" i="25" s="1"/>
  <c r="E62" i="5"/>
  <c r="E362" i="25" s="1"/>
  <c r="E21" i="7"/>
  <c r="E81" i="25" s="1"/>
  <c r="L38" i="18"/>
  <c r="L342" i="25" s="1"/>
  <c r="E63" i="5"/>
  <c r="E366" i="25" s="1"/>
  <c r="E100" i="7"/>
  <c r="E51" i="25" s="1"/>
  <c r="E103" i="7"/>
  <c r="E137" i="25" s="1"/>
  <c r="E20" i="7"/>
  <c r="E60" i="25" s="1"/>
  <c r="E46" i="3"/>
  <c r="E323" i="25" s="1"/>
  <c r="E36" i="3"/>
  <c r="E21" i="3"/>
  <c r="E105" i="25" s="1"/>
  <c r="E23" i="7"/>
  <c r="E107" i="25" s="1"/>
  <c r="E8" i="3"/>
  <c r="E14" i="25" s="1"/>
  <c r="E47" i="3"/>
  <c r="E324" i="25" s="1"/>
  <c r="E68" i="3"/>
  <c r="E398" i="25" s="1"/>
  <c r="E9" i="3"/>
  <c r="E34" i="25" s="1"/>
  <c r="E12" i="3"/>
  <c r="E66" i="25" s="1"/>
  <c r="E10" i="14"/>
  <c r="E180" i="25" s="1"/>
  <c r="E88" i="5"/>
  <c r="E33" i="25" s="1"/>
  <c r="E23" i="3"/>
  <c r="E115" i="25" s="1"/>
  <c r="E39" i="7"/>
  <c r="E122" i="25" s="1"/>
  <c r="E97" i="7"/>
  <c r="E330" i="25" s="1"/>
  <c r="E34" i="7"/>
  <c r="E61" i="25" s="1"/>
  <c r="E91" i="7"/>
  <c r="E157" i="25" s="1"/>
  <c r="E7" i="3"/>
  <c r="E10" i="25" s="1"/>
  <c r="E43" i="7"/>
  <c r="E163" i="25" s="1"/>
  <c r="E51" i="7"/>
  <c r="E241" i="25" s="1"/>
  <c r="E26" i="14"/>
  <c r="E364" i="25" s="1"/>
  <c r="E17" i="14"/>
  <c r="E303" i="25" s="1"/>
  <c r="L16" i="18"/>
  <c r="L109" i="25" s="1"/>
  <c r="E55" i="18"/>
  <c r="E277" i="25" s="1"/>
  <c r="E49" i="3"/>
  <c r="E329" i="25" s="1"/>
  <c r="E27" i="3"/>
  <c r="E145" i="25" s="1"/>
  <c r="E39" i="3"/>
  <c r="E256" i="25" s="1"/>
  <c r="E37" i="3"/>
  <c r="E50" i="7"/>
  <c r="A1" i="3"/>
  <c r="R1" i="3"/>
  <c r="E11" i="14"/>
  <c r="E192" i="25" s="1"/>
  <c r="E57" i="3"/>
  <c r="E369" i="25" s="1"/>
  <c r="E66" i="3"/>
  <c r="E392" i="25" s="1"/>
  <c r="E92" i="7"/>
  <c r="E168" i="25" s="1"/>
  <c r="N147" i="18"/>
  <c r="N403" i="25" s="1"/>
  <c r="L147" i="18"/>
  <c r="L403" i="25" s="1"/>
  <c r="N15" i="18"/>
  <c r="N98" i="25" s="1"/>
  <c r="L59" i="7"/>
  <c r="L325" i="25" s="1"/>
  <c r="N55" i="7"/>
  <c r="N272" i="25" s="1"/>
  <c r="L55" i="7"/>
  <c r="L272" i="25" s="1"/>
  <c r="E107" i="7"/>
  <c r="E253" i="25" s="1"/>
  <c r="E14" i="14"/>
  <c r="E217" i="25" s="1"/>
  <c r="E58" i="3"/>
  <c r="E370" i="25" s="1"/>
  <c r="E67" i="3"/>
  <c r="E393" i="25" s="1"/>
  <c r="E106" i="7"/>
  <c r="E26" i="26" s="1"/>
  <c r="E29" i="7"/>
  <c r="E16" i="7"/>
  <c r="E225" i="25" s="1"/>
  <c r="E26" i="7"/>
  <c r="E173" i="25" s="1"/>
  <c r="E25" i="7"/>
  <c r="E154" i="25" s="1"/>
  <c r="E24" i="7"/>
  <c r="E117" i="25" s="1"/>
  <c r="E19" i="7"/>
  <c r="E38" i="25" s="1"/>
  <c r="E54" i="3"/>
  <c r="E357" i="25" s="1"/>
  <c r="E59" i="7"/>
  <c r="E325" i="25" s="1"/>
  <c r="E52" i="3"/>
  <c r="E346" i="25" s="1"/>
  <c r="E63" i="3"/>
  <c r="E381" i="25" s="1"/>
  <c r="E64" i="3"/>
  <c r="E383" i="25" s="1"/>
  <c r="E45" i="3"/>
  <c r="E318" i="25" s="1"/>
  <c r="E26" i="3"/>
  <c r="E144" i="25" s="1"/>
  <c r="E53" i="3"/>
  <c r="E356" i="25" s="1"/>
  <c r="E50" i="3"/>
  <c r="E344" i="25" s="1"/>
  <c r="E56" i="3"/>
  <c r="E368" i="25" s="1"/>
  <c r="E17" i="3"/>
  <c r="E84" i="25" s="1"/>
  <c r="E61" i="3"/>
  <c r="E378" i="25" s="1"/>
  <c r="E55" i="3"/>
  <c r="E367" i="25" s="1"/>
  <c r="E10" i="3"/>
  <c r="E47" i="25" s="1"/>
  <c r="E69" i="3"/>
  <c r="E402" i="25" s="1"/>
  <c r="E29" i="3"/>
  <c r="E164" i="25" s="1"/>
  <c r="E93" i="5"/>
  <c r="E358" i="25" s="1"/>
  <c r="E94" i="7"/>
  <c r="E213" i="25" s="1"/>
  <c r="E35" i="3"/>
  <c r="E220" i="25" s="1"/>
  <c r="E49" i="5"/>
  <c r="E31" i="25" s="1"/>
  <c r="E24" i="14"/>
  <c r="E307" i="25" s="1"/>
  <c r="E23" i="14"/>
  <c r="E284" i="25" s="1"/>
  <c r="E15" i="14"/>
  <c r="E219" i="25" s="1"/>
  <c r="E8" i="14"/>
  <c r="E133" i="25" s="1"/>
  <c r="E41" i="7"/>
  <c r="E142" i="25" s="1"/>
  <c r="E15" i="3"/>
  <c r="E76" i="25" s="1"/>
  <c r="E38" i="3"/>
  <c r="E248" i="25" s="1"/>
  <c r="E72" i="3"/>
  <c r="E411" i="25" s="1"/>
  <c r="E18" i="3"/>
  <c r="E90" i="25" s="1"/>
  <c r="E41" i="3"/>
  <c r="E262" i="25" s="1"/>
  <c r="E27" i="14"/>
  <c r="E387" i="25" s="1"/>
  <c r="L27" i="14"/>
  <c r="L387" i="25" s="1"/>
  <c r="E65" i="3"/>
  <c r="E391" i="25" s="1"/>
  <c r="E44" i="3"/>
  <c r="E297" i="25" s="1"/>
  <c r="E45" i="7"/>
  <c r="E197" i="25" s="1"/>
  <c r="E48" i="7"/>
  <c r="E200" i="25" s="1"/>
  <c r="E108" i="7"/>
  <c r="E286" i="25" s="1"/>
  <c r="E48" i="5"/>
  <c r="E30" i="25" s="1"/>
  <c r="E105" i="7"/>
  <c r="E195" i="25" s="1"/>
  <c r="E104" i="7"/>
  <c r="E169" i="25" s="1"/>
  <c r="E86" i="7"/>
  <c r="E48" i="25" s="1"/>
  <c r="E87" i="7"/>
  <c r="E53" i="25" s="1"/>
  <c r="E111" i="7"/>
  <c r="E95" i="25" s="1"/>
  <c r="E89" i="5"/>
  <c r="E247" i="25" s="1"/>
  <c r="E22" i="14"/>
  <c r="E390" i="25" s="1"/>
  <c r="E90" i="5"/>
  <c r="E264" i="25" s="1"/>
  <c r="E56" i="5"/>
  <c r="E251" i="25" s="1"/>
  <c r="E53" i="5"/>
  <c r="E246" i="25" s="1"/>
  <c r="E112" i="7"/>
  <c r="E134" i="25" s="1"/>
  <c r="E55" i="7"/>
  <c r="E272" i="25" s="1"/>
  <c r="Q1" i="18"/>
  <c r="E42" i="3"/>
  <c r="E263" i="25" s="1"/>
  <c r="E12" i="14"/>
  <c r="E215" i="25" s="1"/>
  <c r="L44" i="5"/>
  <c r="L96" i="24" s="1"/>
  <c r="N69" i="3"/>
  <c r="N402" i="25" s="1"/>
  <c r="L69" i="3"/>
  <c r="L402" i="25" s="1"/>
  <c r="E96" i="7"/>
  <c r="E314" i="25" s="1"/>
  <c r="E98" i="7"/>
  <c r="E360" i="25" s="1"/>
  <c r="E95" i="7"/>
  <c r="E300" i="25" s="1"/>
  <c r="N65" i="7"/>
  <c r="N401" i="25" s="1"/>
  <c r="L65" i="7"/>
  <c r="L401" i="25" s="1"/>
  <c r="N64" i="7"/>
  <c r="N388" i="25" s="1"/>
  <c r="L64" i="7"/>
  <c r="L388" i="25" s="1"/>
  <c r="E63" i="7"/>
  <c r="E359" i="25" s="1"/>
  <c r="E64" i="7"/>
  <c r="E388" i="25" s="1"/>
  <c r="E58" i="7"/>
  <c r="E313" i="25" s="1"/>
  <c r="E78" i="7"/>
  <c r="E377" i="25" s="1"/>
  <c r="E77" i="7"/>
  <c r="E266" i="25" s="1"/>
  <c r="E75" i="7"/>
  <c r="E156" i="25" s="1"/>
  <c r="L62" i="7"/>
  <c r="L353" i="25" s="1"/>
  <c r="E13" i="14"/>
  <c r="E216" i="25" s="1"/>
  <c r="E18" i="14"/>
  <c r="E306" i="25" s="1"/>
  <c r="E60" i="7"/>
  <c r="E332" i="25" s="1"/>
  <c r="E16" i="14"/>
  <c r="E282" i="25" s="1"/>
  <c r="E19" i="14"/>
  <c r="E337" i="25" s="1"/>
  <c r="E20" i="14"/>
  <c r="E363" i="25" s="1"/>
  <c r="E44" i="7"/>
  <c r="E181" i="25" s="1"/>
  <c r="E33" i="7"/>
  <c r="E42" i="25" s="1"/>
  <c r="E102" i="7"/>
  <c r="E125" i="25" s="1"/>
  <c r="A1" i="5"/>
  <c r="R1" i="5"/>
  <c r="E65" i="7"/>
  <c r="E401" i="25" s="1"/>
  <c r="E9" i="14"/>
  <c r="E143" i="25" s="1"/>
  <c r="E58" i="5"/>
  <c r="E320" i="25" s="1"/>
  <c r="A1" i="14"/>
  <c r="Q1" i="14"/>
  <c r="E7" i="14"/>
  <c r="E80" i="25" s="1"/>
  <c r="E61" i="7"/>
  <c r="E333" i="25" s="1"/>
  <c r="E47" i="5"/>
  <c r="E12" i="25" s="1"/>
  <c r="E91" i="5"/>
  <c r="E351" i="25" s="1"/>
  <c r="E6" i="3"/>
  <c r="E9" i="25" s="1"/>
  <c r="E57" i="5"/>
  <c r="E311" i="25" s="1"/>
  <c r="A1" i="7"/>
  <c r="Q1" i="7"/>
  <c r="E31" i="7"/>
  <c r="E17" i="25" s="1"/>
  <c r="E32" i="7"/>
  <c r="E25" i="25" s="1"/>
  <c r="E35" i="7"/>
  <c r="E82" i="25" s="1"/>
  <c r="E36" i="7"/>
  <c r="E87" i="25" s="1"/>
  <c r="E38" i="7"/>
  <c r="E108" i="25" s="1"/>
  <c r="E40" i="7"/>
  <c r="E123" i="25" s="1"/>
  <c r="E42" i="7"/>
  <c r="E155" i="25" s="1"/>
  <c r="E49" i="7"/>
  <c r="E222" i="25" s="1"/>
  <c r="E52" i="7"/>
  <c r="E259" i="25" s="1"/>
  <c r="E53" i="7"/>
  <c r="E265" i="25" s="1"/>
  <c r="E54" i="7"/>
  <c r="E62" i="7"/>
  <c r="E353" i="25" s="1"/>
  <c r="E89" i="7"/>
  <c r="E121" i="25" s="1"/>
  <c r="E59" i="5"/>
  <c r="E348" i="25" s="1"/>
  <c r="E60" i="5"/>
  <c r="E349" i="25" s="1"/>
  <c r="E61" i="5"/>
  <c r="E350" i="25" s="1"/>
  <c r="E87" i="5"/>
  <c r="E32" i="25" s="1"/>
  <c r="E92" i="5"/>
  <c r="E352" i="25" s="1"/>
  <c r="A1" i="4"/>
  <c r="R1" i="4"/>
  <c r="E25" i="3"/>
  <c r="E141" i="25" s="1"/>
  <c r="E32" i="3"/>
  <c r="E175" i="25" s="1"/>
  <c r="E34" i="3"/>
  <c r="E205" i="25" s="1"/>
  <c r="E40" i="3"/>
  <c r="E261" i="25" s="1"/>
  <c r="E48" i="3"/>
  <c r="E328" i="25" s="1"/>
  <c r="E290" i="25" l="1"/>
  <c r="E36" i="26"/>
  <c r="E23" i="26"/>
  <c r="E40" i="26"/>
  <c r="E21" i="26"/>
  <c r="E288" i="25"/>
  <c r="E31" i="26"/>
  <c r="E234" i="25"/>
  <c r="E92" i="25"/>
  <c r="E16" i="26"/>
  <c r="E54" i="26"/>
  <c r="E345" i="25"/>
  <c r="E33" i="26"/>
  <c r="E221" i="25"/>
  <c r="E227" i="25"/>
  <c r="E29" i="26"/>
  <c r="E289" i="25"/>
  <c r="E39" i="26"/>
  <c r="E22" i="26"/>
  <c r="E55" i="26"/>
  <c r="E380" i="25"/>
  <c r="L301" i="25"/>
  <c r="E271" i="25"/>
  <c r="E278" i="25"/>
  <c r="E209" i="25"/>
  <c r="E336" i="25"/>
</calcChain>
</file>

<file path=xl/sharedStrings.xml><?xml version="1.0" encoding="utf-8"?>
<sst xmlns="http://schemas.openxmlformats.org/spreadsheetml/2006/main" count="7687" uniqueCount="1097">
  <si>
    <t>Index of Spreadsheets</t>
  </si>
  <si>
    <t xml:space="preserve">i </t>
  </si>
  <si>
    <t>this information sheet</t>
  </si>
  <si>
    <t>EFp</t>
  </si>
  <si>
    <t>EFz</t>
  </si>
  <si>
    <t>Notation - Spreadsheet Columns</t>
  </si>
  <si>
    <t xml:space="preserve">f </t>
  </si>
  <si>
    <t>wt</t>
  </si>
  <si>
    <t>price category for "Excellent" condition items</t>
  </si>
  <si>
    <t>M-  to  N</t>
  </si>
  <si>
    <t>price category for "near Mint" to "New" condition items</t>
  </si>
  <si>
    <t>f/</t>
  </si>
  <si>
    <t>maximum aperture (lens wide open), f/ = a.max = minimum F-stop number (e.g. f/1.4)</t>
  </si>
  <si>
    <t>mt</t>
  </si>
  <si>
    <t>Dmin</t>
  </si>
  <si>
    <t>Canon lens specs are from Canon's Canada and US web sites for current and some recent products.</t>
  </si>
  <si>
    <t xml:space="preserve"> </t>
  </si>
  <si>
    <t>eBay</t>
  </si>
  <si>
    <t>other suppliers</t>
  </si>
  <si>
    <t xml:space="preserve">      M-  to  N</t>
  </si>
  <si>
    <t>(mm)</t>
  </si>
  <si>
    <t>(kg)</t>
  </si>
  <si>
    <t>$US</t>
  </si>
  <si>
    <t>date</t>
  </si>
  <si>
    <t>site</t>
  </si>
  <si>
    <t>Sch-K</t>
  </si>
  <si>
    <t>mpex</t>
  </si>
  <si>
    <t>Nikon</t>
  </si>
  <si>
    <t>igor</t>
  </si>
  <si>
    <t>camW</t>
  </si>
  <si>
    <t>keh</t>
  </si>
  <si>
    <t>x</t>
  </si>
  <si>
    <t>b&amp;h</t>
  </si>
  <si>
    <t>ado</t>
  </si>
  <si>
    <t>Carl Zeiss</t>
  </si>
  <si>
    <t>v.v</t>
  </si>
  <si>
    <t>Canon EF Prime</t>
  </si>
  <si>
    <t>(m)</t>
  </si>
  <si>
    <t>Canon</t>
  </si>
  <si>
    <t>EF</t>
  </si>
  <si>
    <t>rg</t>
  </si>
  <si>
    <t>Lifesize Converter</t>
  </si>
  <si>
    <t>MP-E 65/2.8 Macro Photo</t>
  </si>
  <si>
    <t>48 di</t>
  </si>
  <si>
    <t>EF 200/2.8 L II USM</t>
  </si>
  <si>
    <t>52 di</t>
  </si>
  <si>
    <t>EF 400/2.8 L II USM</t>
  </si>
  <si>
    <t>16-35</t>
  </si>
  <si>
    <t>26-56</t>
  </si>
  <si>
    <t>17-35</t>
  </si>
  <si>
    <t>27-56</t>
  </si>
  <si>
    <t>17-40</t>
  </si>
  <si>
    <t>27-64</t>
  </si>
  <si>
    <t>20-35</t>
  </si>
  <si>
    <t>32-56</t>
  </si>
  <si>
    <t>24-70</t>
  </si>
  <si>
    <t>38-110</t>
  </si>
  <si>
    <t>24-105</t>
  </si>
  <si>
    <t>38-168</t>
  </si>
  <si>
    <t>28-70</t>
  </si>
  <si>
    <t>45-110</t>
  </si>
  <si>
    <t>28-80</t>
  </si>
  <si>
    <t>2.8-4</t>
  </si>
  <si>
    <t>45-128</t>
  </si>
  <si>
    <t>70-200</t>
  </si>
  <si>
    <t>110-320</t>
  </si>
  <si>
    <t>80-200</t>
  </si>
  <si>
    <t>128-320</t>
  </si>
  <si>
    <t>1.8</t>
  </si>
  <si>
    <t>28-300</t>
  </si>
  <si>
    <t>3.5-5.6</t>
  </si>
  <si>
    <t>45-420</t>
  </si>
  <si>
    <t>35-350</t>
  </si>
  <si>
    <t>56-560</t>
  </si>
  <si>
    <t>50-200</t>
  </si>
  <si>
    <t>3.5-4.5</t>
  </si>
  <si>
    <t>80-320</t>
  </si>
  <si>
    <t>100-300</t>
  </si>
  <si>
    <t>160-420</t>
  </si>
  <si>
    <t>100-400</t>
  </si>
  <si>
    <t>4.5-5.6</t>
  </si>
  <si>
    <t>160-640</t>
  </si>
  <si>
    <t>10-22</t>
  </si>
  <si>
    <t>EF-S</t>
  </si>
  <si>
    <t xml:space="preserve">EF 70-300/4-5.6 IS USM </t>
  </si>
  <si>
    <t>70-300</t>
  </si>
  <si>
    <t>4-5.6</t>
  </si>
  <si>
    <t>110-420</t>
  </si>
  <si>
    <t xml:space="preserve">EF 70-300/4.5-5.6 DO IS USM </t>
  </si>
  <si>
    <t>Sigma</t>
  </si>
  <si>
    <t>bi</t>
  </si>
  <si>
    <t>12-24</t>
  </si>
  <si>
    <t>19-38</t>
  </si>
  <si>
    <t>20-40</t>
  </si>
  <si>
    <t>32-64</t>
  </si>
  <si>
    <t>38-112</t>
  </si>
  <si>
    <t>45-112</t>
  </si>
  <si>
    <t>50-500</t>
  </si>
  <si>
    <t>4-6.5</t>
  </si>
  <si>
    <t>80-800</t>
  </si>
  <si>
    <t>1-3</t>
  </si>
  <si>
    <t>86c</t>
  </si>
  <si>
    <t>112-320</t>
  </si>
  <si>
    <t>120-300</t>
  </si>
  <si>
    <t>192-480</t>
  </si>
  <si>
    <t>300-800</t>
  </si>
  <si>
    <t>480-1280</t>
  </si>
  <si>
    <t>46di</t>
  </si>
  <si>
    <t>Tamron</t>
  </si>
  <si>
    <t>A2</t>
  </si>
  <si>
    <t>2.7-3.5</t>
  </si>
  <si>
    <t>28-75</t>
  </si>
  <si>
    <t>28-105</t>
  </si>
  <si>
    <t>70-210</t>
  </si>
  <si>
    <t>200-400</t>
  </si>
  <si>
    <t>200-500</t>
  </si>
  <si>
    <t>Tokina</t>
  </si>
  <si>
    <t>24-40</t>
  </si>
  <si>
    <t>2.6-2.8</t>
  </si>
  <si>
    <t>35-70</t>
  </si>
  <si>
    <t>K</t>
  </si>
  <si>
    <t>M42</t>
  </si>
  <si>
    <t>Pentax</t>
  </si>
  <si>
    <t>KA</t>
  </si>
  <si>
    <t>SMC Pentax 500/4.5 (ma)</t>
  </si>
  <si>
    <t>3.5</t>
  </si>
  <si>
    <t>4</t>
  </si>
  <si>
    <t>-</t>
  </si>
  <si>
    <t>b.i.</t>
  </si>
  <si>
    <t>Tessar T* 45/2.8</t>
  </si>
  <si>
    <t>LR</t>
  </si>
  <si>
    <t>Super Angulon R 21mm f/4</t>
  </si>
  <si>
    <t>Nikkor 15/3.5</t>
  </si>
  <si>
    <t>AIS</t>
  </si>
  <si>
    <t>Nikkor 18/3.5</t>
  </si>
  <si>
    <t>Nikkor 20/2.8</t>
  </si>
  <si>
    <t>Nikkor 85/1.4 AIS</t>
  </si>
  <si>
    <t>Nikkor 105/1.8 AIS</t>
  </si>
  <si>
    <t>rf</t>
  </si>
  <si>
    <t>Schneider</t>
  </si>
  <si>
    <t>Yashinon macro</t>
  </si>
  <si>
    <t>Voigtlander</t>
  </si>
  <si>
    <t>Zenitar</t>
  </si>
  <si>
    <t>Extender EF 1.4x</t>
  </si>
  <si>
    <t>Extender EF 1.4x II</t>
  </si>
  <si>
    <t>Extender EF 2x</t>
  </si>
  <si>
    <t>Extender EF 2x II</t>
  </si>
  <si>
    <t>Comparison Page</t>
  </si>
  <si>
    <r>
      <t xml:space="preserve">filter diameter (mm), </t>
    </r>
    <r>
      <rPr>
        <b/>
        <sz val="10"/>
        <rFont val="Arial"/>
        <family val="2"/>
      </rPr>
      <t>rg</t>
    </r>
    <r>
      <rPr>
        <sz val="10"/>
        <rFont val="Arial"/>
        <family val="2"/>
      </rPr>
      <t xml:space="preserve"> = rear gel, </t>
    </r>
    <r>
      <rPr>
        <b/>
        <sz val="10"/>
        <rFont val="Arial"/>
        <family val="2"/>
      </rPr>
      <t xml:space="preserve">bi </t>
    </r>
    <r>
      <rPr>
        <sz val="10"/>
        <rFont val="Arial"/>
        <family val="2"/>
      </rPr>
      <t xml:space="preserve">= built in, </t>
    </r>
    <r>
      <rPr>
        <b/>
        <sz val="10"/>
        <rFont val="Arial"/>
        <family val="2"/>
      </rPr>
      <t xml:space="preserve">di </t>
    </r>
    <r>
      <rPr>
        <sz val="10"/>
        <rFont val="Arial"/>
        <family val="2"/>
      </rPr>
      <t xml:space="preserve"> = drop in</t>
    </r>
  </si>
  <si>
    <t>Sumilux-R 35/1.4</t>
  </si>
  <si>
    <t>Nikkor 35/1.4 AIS</t>
  </si>
  <si>
    <t>2.8</t>
  </si>
  <si>
    <t>AI</t>
  </si>
  <si>
    <t xml:space="preserve">Nikkor 200/2 AIS </t>
  </si>
  <si>
    <t>Canon EF Zoom</t>
  </si>
  <si>
    <t>Lens$db: Lens Price database</t>
  </si>
  <si>
    <t>28-85</t>
  </si>
  <si>
    <t>3.3-4</t>
  </si>
  <si>
    <t>45-136</t>
  </si>
  <si>
    <t>35-135</t>
  </si>
  <si>
    <t>56-215</t>
  </si>
  <si>
    <t>56-112</t>
  </si>
  <si>
    <t>112-336</t>
  </si>
  <si>
    <t>SMC Pentax 18/3.5</t>
  </si>
  <si>
    <t>SMC Takumar 85/1.8</t>
  </si>
  <si>
    <t>SMC Takumar 135/2.5</t>
  </si>
  <si>
    <t>17-55</t>
  </si>
  <si>
    <t>27-88</t>
  </si>
  <si>
    <t>CY</t>
  </si>
  <si>
    <t>EF 50/1.2 L USM</t>
  </si>
  <si>
    <t>AT-X Pro 12-24/4 DG</t>
  </si>
  <si>
    <t>AT-X Pro 20-35/2.8</t>
  </si>
  <si>
    <t>AT-X &amp; AT-X Pro SV</t>
  </si>
  <si>
    <t>AT-X Pro AF</t>
  </si>
  <si>
    <t>AT-X &amp; AT-X Pro 828 AF</t>
  </si>
  <si>
    <t>Elmarit R 24/2.8</t>
  </si>
  <si>
    <t>Nikkor 200-400/4 *ED MF</t>
  </si>
  <si>
    <t>320-640</t>
  </si>
  <si>
    <t>Tomioka</t>
  </si>
  <si>
    <t>SP 180/2.5 LD IF MF</t>
  </si>
  <si>
    <t xml:space="preserve">Nikkor 135/2 AIS </t>
  </si>
  <si>
    <t>Olympus</t>
  </si>
  <si>
    <t>OM</t>
  </si>
  <si>
    <t xml:space="preserve">Canon: Tan Chung, www.tanchung.com/canon/canonlensesmain.htm     </t>
  </si>
  <si>
    <t>Canon: Reptile Garden Photography,  www.rgarden.glandrake.com/index.html</t>
  </si>
  <si>
    <t xml:space="preserve">Canon: Eric's Photos http://canid.com/canon_ef_lenses.html     </t>
  </si>
  <si>
    <t>Olympus: The Unofficial Olympus Sales Information File, http://vanveluwen.nl/eSIF/</t>
  </si>
  <si>
    <t>Contax Carl Zeiss www.zeiss.de and http://www.contaxusa.com/lenses.asp?itemnum=132000</t>
  </si>
  <si>
    <t>Contax etc. Leonard Foo, Photography in Malaysia http://mir.com.my/rb/photography/</t>
  </si>
  <si>
    <t xml:space="preserve">   additional information was taken from a variety of places, including:</t>
  </si>
  <si>
    <t xml:space="preserve">Pentax K: Boz Dimitriov Pentax K-Mount site http://www.bdimitrov.de/kmp/ </t>
  </si>
  <si>
    <t>Pentax Takumar M42: Ashai Optical Historical Society, www.aohc.it</t>
  </si>
  <si>
    <t>Nikon Lens Specifications by Roland Vink http://home19.inet.tele.dk/ne/nikon.htm</t>
  </si>
  <si>
    <t>40-80</t>
  </si>
  <si>
    <t>64-128</t>
  </si>
  <si>
    <t>70co</t>
  </si>
  <si>
    <t>co</t>
  </si>
  <si>
    <t>Nikkor 28/4 PC AI</t>
  </si>
  <si>
    <t>SMC Pentax-A 20/2.8</t>
  </si>
  <si>
    <t>SMC Pentax 50/1.2</t>
  </si>
  <si>
    <t>SMC Pentax-A 50/1.2</t>
  </si>
  <si>
    <t>SMC Pentax-A 50/1.4</t>
  </si>
  <si>
    <t>SMC Pentax 85/1.8</t>
  </si>
  <si>
    <t>SMC Pentax 135/2.5</t>
  </si>
  <si>
    <t>SMC Pentax-M 135/3.5</t>
  </si>
  <si>
    <t>SMC Pentax 200/2.5</t>
  </si>
  <si>
    <t>SMC Pentax-A* ED 200/2.8</t>
  </si>
  <si>
    <t>SMC Pentax-A* ED 200/4 Macro</t>
  </si>
  <si>
    <t>SMC Pentax-A* ED 300/2.8 IF</t>
  </si>
  <si>
    <t>SMC Pentax-A* ED 400/2.8 IF</t>
  </si>
  <si>
    <t>SMC Pentax-A* ED 1200/8 IF</t>
  </si>
  <si>
    <t>Super-Takumar 20/4.5</t>
  </si>
  <si>
    <t>SMC Takumar 20/4.5</t>
  </si>
  <si>
    <t>SMC Takumar 500/4.5 ps</t>
  </si>
  <si>
    <t xml:space="preserve">All spreadsheet pages except for "compare" are 'protected' so that they can't be modified, but you can </t>
  </si>
  <si>
    <t>M645</t>
  </si>
  <si>
    <t>Mamiya</t>
  </si>
  <si>
    <t>P6</t>
  </si>
  <si>
    <t>1.9</t>
  </si>
  <si>
    <t>Xenotar MF 80/2.8</t>
  </si>
  <si>
    <t>43di</t>
  </si>
  <si>
    <t>PC-Super-Angulon 28/2.8 shift</t>
  </si>
  <si>
    <t>28</t>
  </si>
  <si>
    <t>39 di</t>
  </si>
  <si>
    <t>Fish-eye-Takumar FE 17/4</t>
  </si>
  <si>
    <t>10-17</t>
  </si>
  <si>
    <t>16-27</t>
  </si>
  <si>
    <t>Nikkor 50/1.2 AIS</t>
  </si>
  <si>
    <t>AT-X Pro, Pro II</t>
  </si>
  <si>
    <t>EF is Canon AF, others are various manual focus mounts</t>
  </si>
  <si>
    <t>focal length (mm)</t>
  </si>
  <si>
    <t>minimum focus distance (m)</t>
  </si>
  <si>
    <t>weight of lens (kg), not including caps</t>
  </si>
  <si>
    <t xml:space="preserve">maximum diameter of lens (mm) </t>
  </si>
  <si>
    <t>minimum length of lens (mm), usually at infinity focus</t>
  </si>
  <si>
    <t>Zeiss Jena</t>
  </si>
  <si>
    <t>Nikkor 6/2.8 FE [220 deg]</t>
  </si>
  <si>
    <t xml:space="preserve">AT-X 10-17/3.5-4.5 DX FE </t>
  </si>
  <si>
    <t>160-480</t>
  </si>
  <si>
    <t>F</t>
  </si>
  <si>
    <t>Nikkor 8/2.8 FE [220 deg]</t>
  </si>
  <si>
    <t>.08-05</t>
  </si>
  <si>
    <t>SMC Pentax-A 15/3.5</t>
  </si>
  <si>
    <t>AT-X 24-40/2.8</t>
  </si>
  <si>
    <t>43.5di</t>
  </si>
  <si>
    <t>Mamiya-Sekor C 35/3.5 N</t>
  </si>
  <si>
    <t>Mamiya-Sekor C 45/2.8 N</t>
  </si>
  <si>
    <t>Mamiya-Sekor C 50/4 Shift</t>
  </si>
  <si>
    <t>Mamiya-Sekor C 55/2.8 N</t>
  </si>
  <si>
    <t>Mamiya-Sekor C 80/2.8 N</t>
  </si>
  <si>
    <t>Mamiya-Sekor C 80/4 N Macro</t>
  </si>
  <si>
    <t>Mamiya-Sekor C 150/3.5 N</t>
  </si>
  <si>
    <t>Mamiya-Sekor C 210/4 N</t>
  </si>
  <si>
    <t>Mamiya A 200/2.8 APO</t>
  </si>
  <si>
    <t>Mamiya A 500/4.5 APO</t>
  </si>
  <si>
    <t>150-500</t>
  </si>
  <si>
    <t>240-800</t>
  </si>
  <si>
    <t xml:space="preserve">Mamiya-Sekor C 80/1.9 </t>
  </si>
  <si>
    <t>EF-S 10-22/3.5-4.5 USM</t>
  </si>
  <si>
    <t>EF-S 17-55/2.8 IS USM</t>
  </si>
  <si>
    <t>EX 50/1.4 DG HSM</t>
  </si>
  <si>
    <t>14-24</t>
  </si>
  <si>
    <t>22-38</t>
  </si>
  <si>
    <t>AF-S</t>
  </si>
  <si>
    <t>EF Extenders (teleconverters)</t>
  </si>
  <si>
    <t>x1.4</t>
  </si>
  <si>
    <t>x2</t>
  </si>
  <si>
    <t>Planar T* 85/1.4 ZE</t>
  </si>
  <si>
    <t>Distagon T* 21/2.8 ZE</t>
  </si>
  <si>
    <t>Planar T* 50/1.4 ZE</t>
  </si>
  <si>
    <t>Mamiya C ULD 105-210/4.5</t>
  </si>
  <si>
    <t>105-210</t>
  </si>
  <si>
    <t>55-110</t>
  </si>
  <si>
    <t>SP 20-40/2.7-3.5 ASP IF</t>
  </si>
  <si>
    <t>SP 28-75/2.8 XR Di AF</t>
  </si>
  <si>
    <t>Mamiya-Sekor C 24/4 ULD FE</t>
  </si>
  <si>
    <t>Mamiya-Sekor C 80/1.9 N</t>
  </si>
  <si>
    <t>MFD</t>
  </si>
  <si>
    <t>EF 35/2</t>
  </si>
  <si>
    <t>.09-02</t>
  </si>
  <si>
    <t>.09-03</t>
  </si>
  <si>
    <t>PC Super-Angulon 28/2.8 shift</t>
  </si>
  <si>
    <t>AT-X 11-16/2.8 Pro DX Asp</t>
  </si>
  <si>
    <t>11-16</t>
  </si>
  <si>
    <t>18-26</t>
  </si>
  <si>
    <t>320-800</t>
  </si>
  <si>
    <t>(23.2k)</t>
  </si>
  <si>
    <t>72di</t>
  </si>
  <si>
    <t>2,5</t>
  </si>
  <si>
    <t>.09-04</t>
  </si>
  <si>
    <t>Mamiya-Sekor C 300/5.6 N</t>
  </si>
  <si>
    <t>Mamiya-Sekor C 500/5.6</t>
  </si>
  <si>
    <t xml:space="preserve">Mamiya A 150/2.8 </t>
  </si>
  <si>
    <t>.09-05</t>
  </si>
  <si>
    <t>Leica</t>
  </si>
  <si>
    <t xml:space="preserve">20/3.5 Color Skopar Asp SL II </t>
  </si>
  <si>
    <t xml:space="preserve">35/2.8 Color Skoparex SL </t>
  </si>
  <si>
    <t xml:space="preserve">40/2 Ultron Asp SL II </t>
  </si>
  <si>
    <t xml:space="preserve">50/1.8 Color Ultron SL </t>
  </si>
  <si>
    <t xml:space="preserve">58/1.4 Nokton SL-II </t>
  </si>
  <si>
    <t xml:space="preserve">75/2.5 Color Heliar SL </t>
  </si>
  <si>
    <t>90/3.5 Apo-Lanthar CF SL</t>
  </si>
  <si>
    <t xml:space="preserve">180/4 Apo-Lanthar CF SL </t>
  </si>
  <si>
    <t>N</t>
  </si>
  <si>
    <t>PA-Curtagon 35/4 Shift</t>
  </si>
  <si>
    <t>Planar T* 50/1.4 N</t>
  </si>
  <si>
    <t>Planar T* 85/1.4 N</t>
  </si>
  <si>
    <t>Makro-Sonnar T* 100/2.8</t>
  </si>
  <si>
    <t>vSonnar T* 17-35/2.8 N</t>
  </si>
  <si>
    <t>Tele-Apotessar T* 400/4 N</t>
  </si>
  <si>
    <t>d.i.</t>
  </si>
  <si>
    <t>c.o.</t>
  </si>
  <si>
    <t>Mamiya C 55-110/4.5 N</t>
  </si>
  <si>
    <t xml:space="preserve">Medium Format Lenses </t>
  </si>
  <si>
    <t>f (mm)</t>
  </si>
  <si>
    <t>40 - 60</t>
  </si>
  <si>
    <t>60 - 100</t>
  </si>
  <si>
    <t>100 - 210</t>
  </si>
  <si>
    <t>210 - 400</t>
  </si>
  <si>
    <t>Ultra-Wide (UW)</t>
  </si>
  <si>
    <t>Wide (W)</t>
  </si>
  <si>
    <t>Normal (N)</t>
  </si>
  <si>
    <t>Short Telephoto (ST)</t>
  </si>
  <si>
    <t>Medium Telephoto (MT)</t>
  </si>
  <si>
    <t>Long Telephoto (LT)</t>
  </si>
  <si>
    <t>L</t>
  </si>
  <si>
    <t>D</t>
  </si>
  <si>
    <t>Df</t>
  </si>
  <si>
    <t>Elmarit R Super-W 19/2.8 [x]</t>
  </si>
  <si>
    <t>EF-S 15-85/3.5-5.6 IS USM</t>
  </si>
  <si>
    <t>15-85</t>
  </si>
  <si>
    <t>24-135</t>
  </si>
  <si>
    <t>Nikkor 35/2.8 PC n AI (bk knob)</t>
  </si>
  <si>
    <t>.09-08</t>
  </si>
  <si>
    <t>STT</t>
  </si>
  <si>
    <t>CZ.V</t>
  </si>
  <si>
    <t>LNOP</t>
  </si>
  <si>
    <t>Mamiya 645 medium format lenses, plus a few more</t>
  </si>
  <si>
    <t>SP 14/2.8 LD Asp IF</t>
  </si>
  <si>
    <t>Zenit 16/2.8 FE (180/44)</t>
  </si>
  <si>
    <t>SMC Pentax-A 16/2.8 FE</t>
  </si>
  <si>
    <t xml:space="preserve">SMC Pentax 17/4 FE </t>
  </si>
  <si>
    <t>SMC Takumar FE 17/4</t>
  </si>
  <si>
    <t>Distagon T* 18/3.5 ZE</t>
  </si>
  <si>
    <t>Canon EF L series zoom lenses, plus a few others</t>
  </si>
  <si>
    <t>Canon EF prime lenses &amp; extenders</t>
  </si>
  <si>
    <t>Mamiya M645 manual focus</t>
  </si>
  <si>
    <t>Sigma EX autofocus</t>
  </si>
  <si>
    <t>Tamron SP manual and autofocus</t>
  </si>
  <si>
    <t>Tokina manual and autofocus</t>
  </si>
  <si>
    <t>Carl Zeiss Contax (Contax/Yashica, C/Y), manual focus</t>
  </si>
  <si>
    <t>Carl Zeiss Contax N autofocus</t>
  </si>
  <si>
    <t>Voigtlander 35mm manual focus</t>
  </si>
  <si>
    <t>Schneider-Kreuznach 35mm manual focus</t>
  </si>
  <si>
    <t>Pentax SMC K-mount manual focus</t>
  </si>
  <si>
    <t>Olympus OM  manual focus</t>
  </si>
  <si>
    <t>Nikon AIS/ AI  manual focus</t>
  </si>
  <si>
    <t>Pentax Takumar &amp; SMC Takumar M42 manual focus</t>
  </si>
  <si>
    <t>Carl Zeiss ZE manual focus for Canon EOS</t>
  </si>
  <si>
    <t>Nikkor 20/3.5</t>
  </si>
  <si>
    <t>Carl Zeiss Jena manual focus (no zebras)</t>
  </si>
  <si>
    <t>camtec</t>
  </si>
  <si>
    <t>400 - 800</t>
  </si>
  <si>
    <t>800+</t>
  </si>
  <si>
    <t>Extreme Telephoto (ET))</t>
  </si>
  <si>
    <t>Very Wide (VW)</t>
  </si>
  <si>
    <t>10 - 20</t>
  </si>
  <si>
    <t>20 - 28</t>
  </si>
  <si>
    <t>28 - 40</t>
  </si>
  <si>
    <t>.09-09</t>
  </si>
  <si>
    <t>82*</t>
  </si>
  <si>
    <t>* hood accepts filter</t>
  </si>
  <si>
    <t>Distagon T* 28/2 ZE</t>
  </si>
  <si>
    <t>Distagon T* 35/2 ZE</t>
  </si>
  <si>
    <t>.09-10</t>
  </si>
  <si>
    <t>85/1.4 Aspherical IF</t>
  </si>
  <si>
    <t>112-49</t>
  </si>
  <si>
    <t xml:space="preserve">122-39 </t>
  </si>
  <si>
    <t>cameta</t>
  </si>
  <si>
    <t>265</t>
  </si>
  <si>
    <t>VII</t>
  </si>
  <si>
    <t>Elmarit R-35/2.8 III E55 h-bi</t>
  </si>
  <si>
    <t>VIII</t>
  </si>
  <si>
    <t>Fisheye-Elmarit-R</t>
  </si>
  <si>
    <t>Summicron-R 35/2 3cam</t>
  </si>
  <si>
    <t>Elmarit R-35/2.8 II h-lugs</t>
  </si>
  <si>
    <t>bergen</t>
  </si>
  <si>
    <t>.09-12</t>
  </si>
  <si>
    <t>Apo-Summicron-R 180/2</t>
  </si>
  <si>
    <t>Apo-Elmarit-R 180/2.8</t>
  </si>
  <si>
    <t>Elmarit-R 180/2.8 II</t>
  </si>
  <si>
    <t>Telyt-R 250/4</t>
  </si>
  <si>
    <t>Macro-Elmarit-R 60/2.8 3-cam</t>
  </si>
  <si>
    <t>bklyn</t>
  </si>
  <si>
    <t>s8</t>
  </si>
  <si>
    <t>8elm</t>
  </si>
  <si>
    <t>Super-Telephoto (SST)</t>
  </si>
  <si>
    <t xml:space="preserve">Elmarit-R 135/2.8 </t>
  </si>
  <si>
    <t>.10-01</t>
  </si>
  <si>
    <t>SMC Pentax 85/2.2 Soft</t>
  </si>
  <si>
    <t>Elmarit R 90/2.8 E55</t>
  </si>
  <si>
    <t>Summicron-R 50/2 E55</t>
  </si>
  <si>
    <t>17.4k</t>
  </si>
  <si>
    <t>Summicron-R 90/2 E55</t>
  </si>
  <si>
    <t>Apo-Telyt-R 180/3.4 E60</t>
  </si>
  <si>
    <t>.10-02</t>
  </si>
  <si>
    <t>Data sources:</t>
  </si>
  <si>
    <t>Voigtlander SL, LTM, LM: CameraQuest http://cameraquest.com/inventor.htm</t>
  </si>
  <si>
    <t>SP 300/5.6 (54B)</t>
  </si>
  <si>
    <t>SP 17/35 [151B]</t>
  </si>
  <si>
    <t>SP 17/3.5 [51B] (bi filters)</t>
  </si>
  <si>
    <t>24-85</t>
  </si>
  <si>
    <t>Pancolar MC 80/1.8</t>
  </si>
  <si>
    <t>Nikkor ED 500/4 P</t>
  </si>
  <si>
    <t>Nikkor *ED 600/4 IF MF</t>
  </si>
  <si>
    <t>Nikkor *ED 800/5.6 IF MF</t>
  </si>
  <si>
    <t>Nikkor *ED 400/3.5 IF MF</t>
  </si>
  <si>
    <t>Nikkor *ED 300/2 IF N</t>
  </si>
  <si>
    <t>Nikkor *ED 300/2.8 IF N</t>
  </si>
  <si>
    <t>Nikkor *ED 400/2.8 IF MF</t>
  </si>
  <si>
    <t xml:space="preserve">125/2.5 Apo-Lanthar Macro SL </t>
  </si>
  <si>
    <t>.10-04</t>
  </si>
  <si>
    <t>Apo-Telyt-R 280/4 ROM</t>
  </si>
  <si>
    <t>EF 200/1.8 L USM</t>
  </si>
  <si>
    <t>EF 300/4 L IS USM</t>
  </si>
  <si>
    <t>.10-05</t>
  </si>
  <si>
    <t>EF 70-200/2.8 L IS II USM</t>
  </si>
  <si>
    <t>ffordes</t>
  </si>
  <si>
    <t>.10-06</t>
  </si>
  <si>
    <t>Summilux-R 50/1.4 E55 h-bi</t>
  </si>
  <si>
    <t>Samyang</t>
  </si>
  <si>
    <t>5.6-6.3</t>
  </si>
  <si>
    <t xml:space="preserve">EF 70-300/4-5.6L IS USM </t>
  </si>
  <si>
    <t>EF 8-15mm f/4L Fisheye USM</t>
  </si>
  <si>
    <t>8-15</t>
  </si>
  <si>
    <t>Extender EF 1.4x III</t>
  </si>
  <si>
    <t>Extender EF 2x III</t>
  </si>
  <si>
    <t>13-24</t>
  </si>
  <si>
    <t>38-136</t>
  </si>
  <si>
    <t>28-135</t>
  </si>
  <si>
    <t>45-215</t>
  </si>
  <si>
    <t>SP 400mm f/4 LD (IF) MF</t>
  </si>
  <si>
    <t>35/1.4 AS UMC</t>
  </si>
  <si>
    <t xml:space="preserve">EX 300-800/5.6 APO IF HSM </t>
  </si>
  <si>
    <t>EX 20/1.8 Asp DG RF rl</t>
  </si>
  <si>
    <t>.10-09</t>
  </si>
  <si>
    <t>kevin</t>
  </si>
  <si>
    <t>Pancolar MC 50/1.8</t>
  </si>
  <si>
    <t>Zuiko 50/1.2 Auto-S</t>
  </si>
  <si>
    <t xml:space="preserve">SP 24-135/3.5-5.6 AF </t>
  </si>
  <si>
    <t>AT-X Pro 16-28/2.8 FX</t>
  </si>
  <si>
    <t>16-28</t>
  </si>
  <si>
    <t>26-45</t>
  </si>
  <si>
    <t>35-80</t>
  </si>
  <si>
    <t>2.8-3.5</t>
  </si>
  <si>
    <t xml:space="preserve">SP 35-80/2.8-3.5 MF </t>
  </si>
  <si>
    <t>SP 80-200/2.8 LD pp</t>
  </si>
  <si>
    <t>LD 200-400/5.6 IF</t>
  </si>
  <si>
    <t>SP 200-500/5.6-6.3 LD IF</t>
  </si>
  <si>
    <t>SP 28-105/2.8 LD ASP AF</t>
  </si>
  <si>
    <t>SP 70-300/4-5.6 VC</t>
  </si>
  <si>
    <t>38-216</t>
  </si>
  <si>
    <t>56-128</t>
  </si>
  <si>
    <t>24-48</t>
  </si>
  <si>
    <t>38-76</t>
  </si>
  <si>
    <t>3.5-3.8</t>
  </si>
  <si>
    <t>SP 24-48/3.5-3.8</t>
  </si>
  <si>
    <t>77*</t>
  </si>
  <si>
    <t>.10-11</t>
  </si>
  <si>
    <t>Nikkor-P Auto 105/2.5</t>
  </si>
  <si>
    <t>Nikkor 105/2.5</t>
  </si>
  <si>
    <t>.11-01</t>
  </si>
  <si>
    <r>
      <t>f.Zone</t>
    </r>
    <r>
      <rPr>
        <sz val="8"/>
        <rFont val="Arial"/>
        <family val="2"/>
      </rPr>
      <t xml:space="preserve">   © J Colwell 2011</t>
    </r>
  </si>
  <si>
    <t>Sigma, Tamron and Tokina</t>
  </si>
  <si>
    <t>Leica-R, Nikon AI/S, Olympus, Pentax, and a few more</t>
  </si>
  <si>
    <t>4, 5.6</t>
  </si>
  <si>
    <t>EF 200-400/4 L IS 1.4x</t>
  </si>
  <si>
    <t>Apo-Summicron-R 90/2 ASPH</t>
  </si>
  <si>
    <t xml:space="preserve">SMC Pentax-A* 85mm f/1.4 </t>
  </si>
  <si>
    <t>SMC Pentax-A* 135mm f/1.8</t>
  </si>
  <si>
    <t>Mamiya-Sekor C 145/4 SF</t>
  </si>
  <si>
    <t>45-115</t>
  </si>
  <si>
    <t>45-168</t>
  </si>
  <si>
    <t>.11-04</t>
  </si>
  <si>
    <t>AT-X 17/3.5 AF Pro</t>
  </si>
  <si>
    <t>70-150</t>
  </si>
  <si>
    <t>SP 70-150/2.8 Soft [51A]</t>
  </si>
  <si>
    <t>14/2.8 AS UMC</t>
  </si>
  <si>
    <t>Pancolar MC 50/1.4</t>
  </si>
  <si>
    <t>vSonnar T* 70-300/4-5.6 N</t>
  </si>
  <si>
    <t>112-420</t>
  </si>
  <si>
    <t>Noct-Nikkor 58/1.2</t>
  </si>
  <si>
    <t>.11-05</t>
  </si>
  <si>
    <t>compare</t>
  </si>
  <si>
    <t xml:space="preserve">select an entire page and paste it to a new spreadsheet of your own without protection.  </t>
  </si>
  <si>
    <t>Makro-Planar T* 50/2 ZE [1:2]</t>
  </si>
  <si>
    <t>Distagon T* 35/1.4 ZE</t>
  </si>
  <si>
    <t>LM</t>
  </si>
  <si>
    <t>12/5.6 ASPH UW Heliar II</t>
  </si>
  <si>
    <t>LTM</t>
  </si>
  <si>
    <t>50/1.1 Nokton</t>
  </si>
  <si>
    <t>50/1.5 ASPH  Nokton</t>
  </si>
  <si>
    <t>75/1.8 Heliar Classic</t>
  </si>
  <si>
    <t>Rokinon</t>
  </si>
  <si>
    <t>SP 350/5.6 Cat</t>
  </si>
  <si>
    <t>Makro-Planar T* 100/2 ZE [1:2]</t>
  </si>
  <si>
    <t xml:space="preserve">       E  to E+</t>
  </si>
  <si>
    <t>E  to E+</t>
  </si>
  <si>
    <t>.11-10</t>
  </si>
  <si>
    <t>Distagon T* 25/2 ZE</t>
  </si>
  <si>
    <t>EF 135/2 L USM</t>
  </si>
  <si>
    <t>24/1.4 AS UMC</t>
  </si>
  <si>
    <t>jack's</t>
  </si>
  <si>
    <t>.11-11</t>
  </si>
  <si>
    <t>Curtagon MF 60/3.5</t>
  </si>
  <si>
    <t>Pentacon Six, Sch-K lenses, TRA http://www.pentaconsix.com/Schneiderdata.htm</t>
  </si>
  <si>
    <t>5.6</t>
  </si>
  <si>
    <t>Tele-Xenar MF 150/4</t>
  </si>
  <si>
    <t>Tele-Xenar MF 250/5.6</t>
  </si>
  <si>
    <t>.11-12</t>
  </si>
  <si>
    <t>Fujifilm</t>
  </si>
  <si>
    <t>X</t>
  </si>
  <si>
    <t>Zuiko 90/2 MC Macro</t>
  </si>
  <si>
    <t>Canon RF</t>
  </si>
  <si>
    <t>XF</t>
  </si>
  <si>
    <t>2450</t>
  </si>
  <si>
    <t>Canon rangefinder lenses http://www.huffman.tk/id25.html</t>
  </si>
  <si>
    <t>Canon rangefinder lenses http://www.taunusreiter.de/Cameras/Canon_RF_2e.html</t>
  </si>
  <si>
    <t>Fujifilm X mount and compatible (limited selection of LM, LTM, &amp; misc RF)</t>
  </si>
  <si>
    <t>.12-01</t>
  </si>
  <si>
    <t>SP 24-70/2.8 Di VC USD</t>
  </si>
  <si>
    <t>112-480</t>
  </si>
  <si>
    <t>112-240</t>
  </si>
  <si>
    <t xml:space="preserve">320-640 </t>
  </si>
  <si>
    <t>38-64</t>
  </si>
  <si>
    <t>macro Sekor 60/2.8 [1:1]</t>
  </si>
  <si>
    <t xml:space="preserve">Nikkor-N 50/1.1 </t>
  </si>
  <si>
    <t>1.1</t>
  </si>
  <si>
    <t>S</t>
  </si>
  <si>
    <t>28/1.9 ASPH Ultron (D)</t>
  </si>
  <si>
    <t>28/2 Ultron</t>
  </si>
  <si>
    <t>35/1.2 Nokton ASPH II</t>
  </si>
  <si>
    <t>c'quest</t>
  </si>
  <si>
    <t xml:space="preserve">12/5.6 ASPH UW Heliar </t>
  </si>
  <si>
    <t>15/4.5 ASPH SW Heliar DS</t>
  </si>
  <si>
    <t xml:space="preserve">15/4.5 ASPH SW Heliar </t>
  </si>
  <si>
    <t xml:space="preserve">35/1.2 Nokton ASPH </t>
  </si>
  <si>
    <t>40/1.4 MC/SC Nokton</t>
  </si>
  <si>
    <t>tamark</t>
  </si>
  <si>
    <t>Nikkor 14-24/2.8 G ED AF-S</t>
  </si>
  <si>
    <t>.12-02</t>
  </si>
  <si>
    <t xml:space="preserve">EF 400/4 DO IS USM </t>
  </si>
  <si>
    <t xml:space="preserve">Mamiya A 120/4 Macro </t>
  </si>
  <si>
    <t>EF 300/2.8 L IS USM</t>
  </si>
  <si>
    <t>vSonnar T* 24-85/3.5-4.5 N</t>
  </si>
  <si>
    <t>EF 70-200/4 L USM</t>
  </si>
  <si>
    <t>49&gt;72</t>
  </si>
  <si>
    <t>SMC Pentax-A 50/2.8 Macro</t>
  </si>
  <si>
    <t xml:space="preserve">` </t>
  </si>
  <si>
    <t>.12-05</t>
  </si>
  <si>
    <t>.12-04</t>
  </si>
  <si>
    <t>1.5-2.5</t>
  </si>
  <si>
    <t>695</t>
  </si>
  <si>
    <t>SP 200-500/5.6 LD IF [31A]</t>
  </si>
  <si>
    <t>55-200</t>
  </si>
  <si>
    <t>3.5-4.8</t>
  </si>
  <si>
    <t>10-24</t>
  </si>
  <si>
    <t>18-55</t>
  </si>
  <si>
    <t xml:space="preserve">EX 200-500/2.8 APO IF HSM </t>
  </si>
  <si>
    <t>Nikkor 13/5.6</t>
  </si>
  <si>
    <t>Apo Sonnar T* 135/2 ZE</t>
  </si>
  <si>
    <t>Zuiko 40/2 Auto-S</t>
  </si>
  <si>
    <t>Cosina</t>
  </si>
  <si>
    <t>Revuenon 55/1.2</t>
  </si>
  <si>
    <t>EF 24/2.8 IS USM</t>
  </si>
  <si>
    <t>EF 28/2.8 IS USM</t>
  </si>
  <si>
    <t>EF 40/2.8 STM</t>
  </si>
  <si>
    <t>.12-09</t>
  </si>
  <si>
    <t>AT-X Pro 17-35/4 FX</t>
  </si>
  <si>
    <t>EX 120-300/2.8 OS HSM</t>
  </si>
  <si>
    <t>EX 120-300/2.8 HSM</t>
  </si>
  <si>
    <t>Nikkor 28/3.5 PC AI (bk knob)</t>
  </si>
  <si>
    <t>5-6.3</t>
  </si>
  <si>
    <t>.12-11</t>
  </si>
  <si>
    <t>.12-10</t>
  </si>
  <si>
    <t xml:space="preserve">28/2.8 Color Skopar Asp SL II </t>
  </si>
  <si>
    <t>SP 180/3.5 AF Di Macro 1:1</t>
  </si>
  <si>
    <t>Zuiko 200/4 Auto-T</t>
  </si>
  <si>
    <t>Auto-Takumar 85/1.8</t>
  </si>
  <si>
    <t>Zuiko Zoom 35-80/2.8 (ED)</t>
  </si>
  <si>
    <t>Zuiko 100/2 Auto-T (ED)</t>
  </si>
  <si>
    <t>EF 35/2 IS</t>
  </si>
  <si>
    <t xml:space="preserve">Sigma </t>
  </si>
  <si>
    <t>.12-12</t>
  </si>
  <si>
    <t xml:space="preserve">21/1.8 ASPH Ultron </t>
  </si>
  <si>
    <t>SMC Pentax 20/4</t>
  </si>
  <si>
    <t>SMC Pentax-M 20/4</t>
  </si>
  <si>
    <t>SP 90/2.5 Macro [58BB]</t>
  </si>
  <si>
    <t>mamyia/sekor AUTO 21/4 SX</t>
  </si>
  <si>
    <t>mamyia/sekor AUTO 50/1.4 SX</t>
  </si>
  <si>
    <t>mamyia/sekor AUTO 85/1.7 SX</t>
  </si>
  <si>
    <t>15-35</t>
  </si>
  <si>
    <t>Carl Zeiss M42</t>
  </si>
  <si>
    <t>mamyia/sekor AUTO 35/2.8 SX</t>
  </si>
  <si>
    <t>.13-01</t>
  </si>
  <si>
    <t>Zuiko 50/1.8 Auto-S</t>
  </si>
  <si>
    <t>.13-02</t>
  </si>
  <si>
    <t>EFm</t>
  </si>
  <si>
    <t>EFx</t>
  </si>
  <si>
    <t>Other manual focus</t>
  </si>
  <si>
    <t>Minolta</t>
  </si>
  <si>
    <t>Zuiko 135/4.5 MC Macro</t>
  </si>
  <si>
    <t xml:space="preserve">Zuiko 85/2 Auto-T </t>
  </si>
  <si>
    <t xml:space="preserve">Zuiko 55/1.2 Auto-S </t>
  </si>
  <si>
    <t xml:space="preserve">  </t>
  </si>
  <si>
    <t>Sonnar MC 135/3.5</t>
  </si>
  <si>
    <t xml:space="preserve">Flektogon 20/2.8 </t>
  </si>
  <si>
    <t xml:space="preserve">Flektogon 20/4 </t>
  </si>
  <si>
    <t xml:space="preserve">Flektogon 35/2.4 MC </t>
  </si>
  <si>
    <t>Sonnar MC 200/2.8</t>
  </si>
  <si>
    <t>Sonnar MC 180/2.8</t>
  </si>
  <si>
    <t>EX 28/1.8</t>
  </si>
  <si>
    <t>SMC Pentax 28/2</t>
  </si>
  <si>
    <t>ctc</t>
  </si>
  <si>
    <t>Mamiya-Sekor C 110/2.8 N</t>
  </si>
  <si>
    <t xml:space="preserve">SMC Pentax-M, -A 400/5.6 </t>
  </si>
  <si>
    <t>Biotar 75/1.5</t>
  </si>
  <si>
    <t>Zeiss</t>
  </si>
  <si>
    <t>Touit 32/1.8</t>
  </si>
  <si>
    <t>Touit 12/2.8</t>
  </si>
  <si>
    <t>Fujifilm XF autofocus</t>
  </si>
  <si>
    <t>Zeiss X autofocus</t>
  </si>
  <si>
    <t xml:space="preserve">Voigtlander LM/LTM manual focus </t>
  </si>
  <si>
    <t>Canon RF manual focus</t>
  </si>
  <si>
    <t>Nikon RF manual focus</t>
  </si>
  <si>
    <t>SP 70-200/2.8 Di [A001]</t>
  </si>
  <si>
    <t>SP 70-200/2.8 Di VC [A009]</t>
  </si>
  <si>
    <t>.13-04</t>
  </si>
  <si>
    <t>24/3.5 ED AS UMC T-S</t>
  </si>
  <si>
    <t>.13-05</t>
  </si>
  <si>
    <t xml:space="preserve">EX 50/2.8 DG macro </t>
  </si>
  <si>
    <t>EX 70/2.8 DG macro</t>
  </si>
  <si>
    <t>EX 85/1.4 DG</t>
  </si>
  <si>
    <t>EX 105/2.8 macro</t>
  </si>
  <si>
    <t>EX 105/2.8 macro OS</t>
  </si>
  <si>
    <t>EX 150/2.8 DG APO Macro</t>
  </si>
  <si>
    <t>EX 150/2.8 DG APO Macro OS</t>
  </si>
  <si>
    <t>EX 180/3.5 APO Macro</t>
  </si>
  <si>
    <t>EX 180/2.8 APO Macro OS</t>
  </si>
  <si>
    <t>EX 300/2.8 AF APO</t>
  </si>
  <si>
    <t>EX 500/4.5 DG APO AF</t>
  </si>
  <si>
    <t>EX 800/5.6 DG APO AF</t>
  </si>
  <si>
    <t>EX 14/2.8 ASP IF DG</t>
  </si>
  <si>
    <t>EX 24/1.8ASP DG DF rl</t>
  </si>
  <si>
    <t>EX 70-200/2.8 APO OS</t>
  </si>
  <si>
    <t>EX 50-500/4-5.6 APO OS</t>
  </si>
  <si>
    <t>EX 28-70/2.8 ASP EX DG</t>
  </si>
  <si>
    <t>EX 24-70/2.8 ASP DF DG</t>
  </si>
  <si>
    <t>EX 12-24/4.5-5.6 ASP DG rl</t>
  </si>
  <si>
    <t>SP 300/2.8 MF LD IF full set</t>
  </si>
  <si>
    <t>SP 300/2.8 MF LD IF</t>
  </si>
  <si>
    <t>SP 300/2.8 AF LD IF</t>
  </si>
  <si>
    <t>AT-X 90/2.5 Macro</t>
  </si>
  <si>
    <t>AT-X 100/2.8 Macro</t>
  </si>
  <si>
    <t>AT-X 300/2.8 AF PRO</t>
  </si>
  <si>
    <t>AT-X 300/2.8 SD MF</t>
  </si>
  <si>
    <t>27-85</t>
  </si>
  <si>
    <t>52di</t>
  </si>
  <si>
    <t>Zuiko 21/3.5</t>
  </si>
  <si>
    <t xml:space="preserve">Zuiko 21/2 </t>
  </si>
  <si>
    <t>Zuiko 18/3.5 MC Auto-W</t>
  </si>
  <si>
    <t>camren</t>
  </si>
  <si>
    <t>16-50</t>
  </si>
  <si>
    <t>24-75</t>
  </si>
  <si>
    <t>.13-06</t>
  </si>
  <si>
    <t>MC Rokkor-X 58/1.2</t>
  </si>
  <si>
    <t>ZE</t>
  </si>
  <si>
    <t>.13-07</t>
  </si>
  <si>
    <t>EBC Fujinon-SW 19/3.5</t>
  </si>
  <si>
    <t>EBC Fujinon-SW 24/2.8</t>
  </si>
  <si>
    <t>EBC Fujinon-W 35/1.9</t>
  </si>
  <si>
    <t>EBC Fujinon-W 35/2.8</t>
  </si>
  <si>
    <t>EBC Fujinon 50/1.4</t>
  </si>
  <si>
    <t>EBC Fujinon 85/4 soft</t>
  </si>
  <si>
    <t>EBC Fujinon 100/2.8</t>
  </si>
  <si>
    <t>EBC Fujinon-T 135/2.5</t>
  </si>
  <si>
    <t xml:space="preserve">EBC Fujinon Macro 55/3.5 </t>
  </si>
  <si>
    <t>Fuji Photo</t>
  </si>
  <si>
    <t>PC TS Makro-Symmar 90/4.5</t>
  </si>
  <si>
    <t>PC TS Super-Angulon 50/2.8</t>
  </si>
  <si>
    <t>3365</t>
  </si>
  <si>
    <t>EBC Fujinon-Fisheye 16/2.8</t>
  </si>
  <si>
    <t>.13-08</t>
  </si>
  <si>
    <t>.13-09</t>
  </si>
  <si>
    <t>EF 70-200/4 L IS USM</t>
  </si>
  <si>
    <t>M49</t>
  </si>
  <si>
    <t>.13-10</t>
  </si>
  <si>
    <t>SP 150-600/5-6.3 VC</t>
  </si>
  <si>
    <t>150-600</t>
  </si>
  <si>
    <t>240-960</t>
  </si>
  <si>
    <t>88*</t>
  </si>
  <si>
    <t>.13-11</t>
  </si>
  <si>
    <t>cf</t>
  </si>
  <si>
    <t>.13-12</t>
  </si>
  <si>
    <t>EX 100-300/4 APO IF</t>
  </si>
  <si>
    <t>SMC Pentax-FA 645 35/3.5</t>
  </si>
  <si>
    <t>P645</t>
  </si>
  <si>
    <t>SMC Pentax-A 645 35/3.5</t>
  </si>
  <si>
    <t>SMC Pentax-A 645 55/2.8</t>
  </si>
  <si>
    <t>SMC Pentax-A 645 120/4 Mac</t>
  </si>
  <si>
    <t>SMC Pentax-FA 645 120/4 Mac</t>
  </si>
  <si>
    <t>SMC Pentax-FA 645 55/2.8 AL</t>
  </si>
  <si>
    <t>Pentax Forums http://www.pentaxforums.com/lensreviews/ (645)</t>
  </si>
  <si>
    <t>SMC Pentax-A 645 75/2.8</t>
  </si>
  <si>
    <t>SMC Pentax-FA 645 75/2.8</t>
  </si>
  <si>
    <t>Schneider-Kreusnach manual focus</t>
  </si>
  <si>
    <t>Pentax P645 manual and autofocus</t>
  </si>
  <si>
    <t>EX 50/1.4 DG HSM Art</t>
  </si>
  <si>
    <t>EX 35/1.4 DG HSM Art</t>
  </si>
  <si>
    <t>EX 24-105/4 OS Art</t>
  </si>
  <si>
    <t>38-155</t>
  </si>
  <si>
    <t>Touit 50/2.8 Macro</t>
  </si>
  <si>
    <t>85-300</t>
  </si>
  <si>
    <t>.14-01</t>
  </si>
  <si>
    <t>18-135</t>
  </si>
  <si>
    <t>27-200</t>
  </si>
  <si>
    <t>4.5-6.7</t>
  </si>
  <si>
    <t>75-345</t>
  </si>
  <si>
    <t>.14-02</t>
  </si>
  <si>
    <t>340</t>
  </si>
  <si>
    <t>325</t>
  </si>
  <si>
    <t>RMC 17/3.5 SL</t>
  </si>
  <si>
    <t>Otus Apo Dist'gn T* 55/1.4 ZE</t>
  </si>
  <si>
    <t>Carl Zeiss ZE, C/Y,  N, and Jena; Voigtlander and Schneider PC T-S</t>
  </si>
  <si>
    <t>.14-03</t>
  </si>
  <si>
    <t>S7</t>
  </si>
  <si>
    <t>28-200</t>
  </si>
  <si>
    <t>45-320</t>
  </si>
  <si>
    <t>SP 28-200/3.8-5.6 XR AF</t>
  </si>
  <si>
    <t>.14-04</t>
  </si>
  <si>
    <t>.14-05</t>
  </si>
  <si>
    <t>Yashica</t>
  </si>
  <si>
    <t>Yashica Lens ML</t>
  </si>
  <si>
    <t>SMC Takumar 35/2</t>
  </si>
  <si>
    <t>Zuiko 24/3.5 Shift</t>
  </si>
  <si>
    <t>.14-06</t>
  </si>
  <si>
    <t>EF-S 10-18/4.5-5.6 IS STM</t>
  </si>
  <si>
    <t>10-18</t>
  </si>
  <si>
    <t>KAF</t>
  </si>
  <si>
    <t>X manual focus</t>
  </si>
  <si>
    <t>NCS 10/2.8 ED</t>
  </si>
  <si>
    <t xml:space="preserve">NCS 12/2 </t>
  </si>
  <si>
    <t>50-140</t>
  </si>
  <si>
    <t>75-210</t>
  </si>
  <si>
    <t>16-55</t>
  </si>
  <si>
    <t>.14-07</t>
  </si>
  <si>
    <t>50-230</t>
  </si>
  <si>
    <t>LA</t>
  </si>
  <si>
    <t>1.2k-1.7k</t>
  </si>
  <si>
    <t>5.6-8</t>
  </si>
  <si>
    <t>f(1.6x)</t>
  </si>
  <si>
    <t>f(1.5x)</t>
  </si>
  <si>
    <t>Auto Tominon/Auto Revuenon</t>
  </si>
  <si>
    <t>1302</t>
  </si>
  <si>
    <t>320</t>
  </si>
  <si>
    <t>.14-08</t>
  </si>
  <si>
    <t>EF-S 18-55/3.5-5.6 IS STM</t>
  </si>
  <si>
    <t>29-88</t>
  </si>
  <si>
    <t>henry's</t>
  </si>
  <si>
    <t xml:space="preserve">EF 400/4 DO IS II USM </t>
  </si>
  <si>
    <t>.14-09</t>
  </si>
  <si>
    <t>Zuiko 35-70/3.6 Auto-Zoom</t>
  </si>
  <si>
    <t>Meyer</t>
  </si>
  <si>
    <t>.14-10</t>
  </si>
  <si>
    <t>EX 50-500/4-5.6 APO</t>
  </si>
  <si>
    <t>V.cyl</t>
  </si>
  <si>
    <t>cm3</t>
  </si>
  <si>
    <t>V.mod</t>
  </si>
  <si>
    <t>EF-S 24/2.8 STM</t>
  </si>
  <si>
    <t>10/2.8 ED</t>
  </si>
  <si>
    <t>16/2 ED UMC</t>
  </si>
  <si>
    <t>SMC Pentax 28/3.5</t>
  </si>
  <si>
    <t>SMC Pentax 35/3.5</t>
  </si>
  <si>
    <t>SMC Pentax-M,-A 100/4 Macro</t>
  </si>
  <si>
    <t>SMC Pentax-M*, -A* 300/4</t>
  </si>
  <si>
    <t>EF-S 55-250/4-5.6 IS STM</t>
  </si>
  <si>
    <t>55-250</t>
  </si>
  <si>
    <t>88-400</t>
  </si>
  <si>
    <t>EF-S 18-135/3.5-5.6 IS STM</t>
  </si>
  <si>
    <t>29-216</t>
  </si>
  <si>
    <t>Efm</t>
  </si>
  <si>
    <t>EF-S Lenses (1.6x CF cameras)</t>
  </si>
  <si>
    <t>EF-S 60/2.8 Macro USM</t>
  </si>
  <si>
    <t>.14-11</t>
  </si>
  <si>
    <t>Distagon T* 15/2.8 ZE</t>
  </si>
  <si>
    <t>AT-X 150-500/5.6 SD</t>
  </si>
  <si>
    <t>50/1.4 AS UMC</t>
  </si>
  <si>
    <t>SMC Pentax-FA* 600/4</t>
  </si>
  <si>
    <t>150-43</t>
  </si>
  <si>
    <t>MD</t>
  </si>
  <si>
    <t>EFsx</t>
  </si>
  <si>
    <t>15-30</t>
  </si>
  <si>
    <t>SP 15-30/2.8 Di VC USD</t>
  </si>
  <si>
    <t xml:space="preserve">Canon </t>
  </si>
  <si>
    <t>EF 11-24/4 L USM</t>
  </si>
  <si>
    <t>11-24</t>
  </si>
  <si>
    <t>17-38</t>
  </si>
  <si>
    <t>.15-01</t>
  </si>
  <si>
    <t>Otus Apo Planar T* 85/1.4 ZE</t>
  </si>
  <si>
    <t>(Porst) Color Reflex</t>
  </si>
  <si>
    <t>.15-02</t>
  </si>
  <si>
    <t>Mamiya-Sekor C 500/8 Reflex</t>
  </si>
  <si>
    <t>1625</t>
  </si>
  <si>
    <t>.15-03</t>
  </si>
  <si>
    <t>Zuiko 250/2 Auto-T</t>
  </si>
  <si>
    <t>Zuiko 350/2.8 Auto-T</t>
  </si>
  <si>
    <t>Zuiko 180/2 Auto-T</t>
  </si>
  <si>
    <t>Apo-MacroElmarit-R 100/2.8</t>
  </si>
  <si>
    <t>Macro-Elmar-R 100/4</t>
  </si>
  <si>
    <t>EX 24/1.4 Art ASP DG DF rl</t>
  </si>
  <si>
    <t>180k</t>
  </si>
  <si>
    <t>.15-04</t>
  </si>
  <si>
    <r>
      <t xml:space="preserve">See </t>
    </r>
    <r>
      <rPr>
        <b/>
        <sz val="10"/>
        <rFont val="Arial"/>
        <family val="2"/>
      </rPr>
      <t>Lens$db.docx</t>
    </r>
    <r>
      <rPr>
        <sz val="10"/>
        <rFont val="Arial"/>
        <family val="2"/>
      </rPr>
      <t xml:space="preserve"> for who, when, where, why, and how; this database tells you what and how much.</t>
    </r>
  </si>
  <si>
    <t>Pentacon</t>
  </si>
  <si>
    <t>SMC Pentax-FA 50/2.8 Macro</t>
  </si>
  <si>
    <t>EF 85/1.8 USM</t>
  </si>
  <si>
    <t>.15-06</t>
  </si>
  <si>
    <t>EX 120-300/2.8 OS S HSM</t>
  </si>
  <si>
    <t>100/2.8 ED UMC Macro</t>
  </si>
  <si>
    <t>Komura</t>
  </si>
  <si>
    <t>100/1.8</t>
  </si>
  <si>
    <t>105/2.5</t>
  </si>
  <si>
    <t>105/2</t>
  </si>
  <si>
    <t>85/1.4</t>
  </si>
  <si>
    <t>135/2</t>
  </si>
  <si>
    <t>.15-07</t>
  </si>
  <si>
    <t>Mamiya A 300/2.8 APO</t>
  </si>
  <si>
    <t>.15-08</t>
  </si>
  <si>
    <t>Carl Zeiss Milvus manual focus for Canon EOS</t>
  </si>
  <si>
    <t>Carl Zeiss Otus manual focus for Canon EOS</t>
  </si>
  <si>
    <t>Milvus T* 35/2 ZE</t>
  </si>
  <si>
    <t>Milvus 85/1.4 ZE</t>
  </si>
  <si>
    <t>Milvus 100/2 M ZE [1:2]</t>
  </si>
  <si>
    <t>fm</t>
  </si>
  <si>
    <t>Auto Yashinon/Cosinon</t>
  </si>
  <si>
    <t>DG 150-600 OS C</t>
  </si>
  <si>
    <t>DG 150-600 OS S</t>
  </si>
  <si>
    <t>.15-09</t>
  </si>
  <si>
    <t>Otus 28/1.4 ZE</t>
  </si>
  <si>
    <t>SMC Pentax-A 100/2.8 Macro</t>
  </si>
  <si>
    <t>SMC Pentax "1:3.5/15mm" (AL)</t>
  </si>
  <si>
    <t>SMC Pentax "1:3.5 15mm" (not)</t>
  </si>
  <si>
    <t>.15-10</t>
  </si>
  <si>
    <t>24-35</t>
  </si>
  <si>
    <t>38-56</t>
  </si>
  <si>
    <t>24-35/2 DG HSM Art</t>
  </si>
  <si>
    <t>henrys</t>
  </si>
  <si>
    <t>300</t>
  </si>
  <si>
    <t>SP 45/1.8 Di VC</t>
  </si>
  <si>
    <t>SMC Pentax-M 28/2</t>
  </si>
  <si>
    <t>EF-S 24-105/3.5-5.6 IS STM</t>
  </si>
  <si>
    <t>`</t>
  </si>
  <si>
    <t>.15-11</t>
  </si>
  <si>
    <t>.15-12</t>
  </si>
  <si>
    <t>Jena etc. AllPhotoLenses, http://allphotolenses.com/lenses/item/c_921.html</t>
  </si>
  <si>
    <t>Sonnar MC 300/4 (P6)</t>
  </si>
  <si>
    <t>Nikkor 1200-1700/5.6-8*ED MF</t>
  </si>
  <si>
    <t>SMC Takumar "1:3.5/15" (AL)</t>
  </si>
  <si>
    <t>SMC Takumar 15mm f/3.5</t>
  </si>
  <si>
    <t>180x</t>
  </si>
  <si>
    <t>400</t>
  </si>
  <si>
    <t>SP 35/1.8 Di VC</t>
  </si>
  <si>
    <t>AT-X 100-300/4 AF</t>
  </si>
  <si>
    <t>Super-Elmarit-R 15/2.8 Asp ROM</t>
  </si>
  <si>
    <t>l-shop</t>
  </si>
  <si>
    <t>L-shop</t>
  </si>
  <si>
    <t>Super-Elmar-R 15/3,5 [x] (Zeiss)</t>
  </si>
  <si>
    <t xml:space="preserve">The Lens Price database, Lens$db, is copyright © J.L. Colwell 2005-2016.  You may copy and freely distribute the database to others, but you may not charge or accept any fees, and you may not modify the database.  You may incorporate any information from Lens$db in other publications (online or otherwise), as long as you acknowledge the source.  I attempt to acknowledge all sources I have used (except for eBay sales), and I apologize to any sources I may have missed.  I am grateful to the many people who share photography information online.   I hope this is a useful contribution.  I try to be accurate but I'm sure there are errors and omissions - use this database at your own risk.      </t>
  </si>
  <si>
    <t>convert $ CA to $ US [excel variable CA.US]</t>
  </si>
  <si>
    <t>equivalent focal length (mm) on a x1.6 crop factor body, e.g, Canon SL1, T5i, 70D, 7D II, etc.</t>
  </si>
  <si>
    <t>Leica R: CameraQuest http://www.cameraquest.com, Erwin Puts</t>
  </si>
  <si>
    <t>.16-01</t>
  </si>
  <si>
    <t>Copyright © J.L. Colwell 2005-2016, www.jcolwell.ca</t>
  </si>
  <si>
    <t xml:space="preserve">EF 28-300/3.5-5.6 L IS USM </t>
  </si>
  <si>
    <t xml:space="preserve">EF 100-400/4.5-5.6 L IS USM </t>
  </si>
  <si>
    <t xml:space="preserve">EF 100-400/4.5-5.6 L IS II USM </t>
  </si>
  <si>
    <t xml:space="preserve">EF 28-135/3.5-5.6 IS USM </t>
  </si>
  <si>
    <t xml:space="preserve">EF 28-80/2.8-4 L USM </t>
  </si>
  <si>
    <t xml:space="preserve">EF 70-200/2.8 L USM </t>
  </si>
  <si>
    <t xml:space="preserve">EF 35-350/3.5-5.6 L USM </t>
  </si>
  <si>
    <t xml:space="preserve">EF 16-35/2.8 L USM </t>
  </si>
  <si>
    <t xml:space="preserve">EF 16-35/2.8 L II USM </t>
  </si>
  <si>
    <t xml:space="preserve">EF 16-35/4 L IS USM </t>
  </si>
  <si>
    <t xml:space="preserve">EF 17-35/2.8 L USM </t>
  </si>
  <si>
    <t xml:space="preserve">EF 17-40/4 L USM </t>
  </si>
  <si>
    <t xml:space="preserve">EF 20-35/2.8 L USM </t>
  </si>
  <si>
    <t xml:space="preserve">EF 24-70/2.8 L USM </t>
  </si>
  <si>
    <t xml:space="preserve">EF 24-70/2.8 L II USM </t>
  </si>
  <si>
    <t xml:space="preserve">EF 24-70/4 L IS USM </t>
  </si>
  <si>
    <t xml:space="preserve">EF 24-105/4 L IS USM </t>
  </si>
  <si>
    <t xml:space="preserve">EF 28-70/2.8 L USM </t>
  </si>
  <si>
    <t xml:space="preserve">EF 70-200/2.8 L IS USM </t>
  </si>
  <si>
    <t xml:space="preserve">EF 80-200/2.8 L </t>
  </si>
  <si>
    <t xml:space="preserve">EF 50-200/3.5-4.5 L </t>
  </si>
  <si>
    <t xml:space="preserve">EF 100-300/5.6 L </t>
  </si>
  <si>
    <t xml:space="preserve">EF 180/3.5 L Macro USM </t>
  </si>
  <si>
    <t xml:space="preserve">EF 600/4 L IS USM </t>
  </si>
  <si>
    <t xml:space="preserve">EF 600/4 L IS II USM </t>
  </si>
  <si>
    <t xml:space="preserve">EF 800/5.6 L IS USM </t>
  </si>
  <si>
    <t xml:space="preserve">EF 15/2.8 (180/44) </t>
  </si>
  <si>
    <t xml:space="preserve">TS-E 24/3.5 L II </t>
  </si>
  <si>
    <t xml:space="preserve">EF 50/1.8 STM </t>
  </si>
  <si>
    <t xml:space="preserve">EF 100/2.8 Macro USM </t>
  </si>
  <si>
    <t xml:space="preserve">EF 100/2.8 L IS Macro USM </t>
  </si>
  <si>
    <t xml:space="preserve">EF 300/2.8 L IS II USM </t>
  </si>
  <si>
    <t xml:space="preserve">EF 300/4 L USM </t>
  </si>
  <si>
    <t xml:space="preserve">EF 400/2.8 L IS USM </t>
  </si>
  <si>
    <t xml:space="preserve">EF 400/2.8 L IS II USM </t>
  </si>
  <si>
    <t xml:space="preserve">EF 500/4 L IS USM </t>
  </si>
  <si>
    <t xml:space="preserve">EF 500/4 L IS II USM </t>
  </si>
  <si>
    <t xml:space="preserve">EF 14/2.8 L USM </t>
  </si>
  <si>
    <t xml:space="preserve">EF 14/2.8 L II USM </t>
  </si>
  <si>
    <t xml:space="preserve">TS-E 17/4 L </t>
  </si>
  <si>
    <t xml:space="preserve">EF 20/2.8 USM </t>
  </si>
  <si>
    <t xml:space="preserve">EF 24/1.4 L USM </t>
  </si>
  <si>
    <t xml:space="preserve">EF 24/1.4 L II USM </t>
  </si>
  <si>
    <t xml:space="preserve">TS-E 24/3.5 L </t>
  </si>
  <si>
    <t xml:space="preserve">EF 28/1.8 USM </t>
  </si>
  <si>
    <t xml:space="preserve">EF 35/1.4 L USM </t>
  </si>
  <si>
    <t xml:space="preserve">EF 35/1.4 L II USM </t>
  </si>
  <si>
    <t xml:space="preserve">TS-E 45/2.8 </t>
  </si>
  <si>
    <t xml:space="preserve">EF 50/1.0 L USM </t>
  </si>
  <si>
    <t xml:space="preserve">EF 50/1.4 USM </t>
  </si>
  <si>
    <t xml:space="preserve">EF 50/1.8 II </t>
  </si>
  <si>
    <t xml:space="preserve">EF 50/2.5 Compact-Macro </t>
  </si>
  <si>
    <t xml:space="preserve">EF 85/1.2 L USM </t>
  </si>
  <si>
    <t xml:space="preserve">EF 85/1.2 L II USM </t>
  </si>
  <si>
    <t xml:space="preserve">TS-E 90/2.8 </t>
  </si>
  <si>
    <t xml:space="preserve">EF 100/2.0 USM </t>
  </si>
  <si>
    <t xml:space="preserve">EF 100/2.8 Macro </t>
  </si>
  <si>
    <t xml:space="preserve">EF 135/2.8 Soft </t>
  </si>
  <si>
    <t xml:space="preserve">EF 200/2 L IS USM </t>
  </si>
  <si>
    <t xml:space="preserve">EF 200/2.8 L USM </t>
  </si>
  <si>
    <t xml:space="preserve">EF 300/2.8 L USM </t>
  </si>
  <si>
    <t xml:space="preserve">EF 400/2.8 L USM </t>
  </si>
  <si>
    <t xml:space="preserve">EF 400/5.6 L USM </t>
  </si>
  <si>
    <t xml:space="preserve">EF 500/4.5 L USM </t>
  </si>
  <si>
    <t xml:space="preserve">EF 600/4 L USM </t>
  </si>
  <si>
    <t xml:space="preserve">EF 1200/5.6 L USM </t>
  </si>
  <si>
    <t xml:space="preserve">EF 24/2.8 </t>
  </si>
  <si>
    <t xml:space="preserve">EF 28/2.8 </t>
  </si>
  <si>
    <t xml:space="preserve">EF 50/1.8 </t>
  </si>
  <si>
    <t xml:space="preserve">EX 70-200/2.8 APO </t>
  </si>
  <si>
    <t>DG 150-500 OS APO HSM</t>
  </si>
  <si>
    <t>AT-X 300/4 AF Pro</t>
  </si>
  <si>
    <t>Milvus T* 21/2.8 ZE</t>
  </si>
  <si>
    <t>Milvus T* 50/1.4 ZE</t>
  </si>
  <si>
    <t>Milvus 50/2 M ZE [1:2]</t>
  </si>
  <si>
    <t xml:space="preserve">Elmarit-R 28/2.8 </t>
  </si>
  <si>
    <t>Elmarit-R 28/2.8 E55 pre-ROM</t>
  </si>
  <si>
    <t>Summicron-R 35/2 E55</t>
  </si>
  <si>
    <t xml:space="preserve">Summilux-R 80/1.4 </t>
  </si>
  <si>
    <t xml:space="preserve">Elmar-R 180/4 </t>
  </si>
  <si>
    <t xml:space="preserve">Apo-Telyt-R 280/2.8 </t>
  </si>
  <si>
    <t>Nikkor *ED 600/5.6 IF MF</t>
  </si>
  <si>
    <t>SMC Pentax-A* 600/5.6 ED IF</t>
  </si>
  <si>
    <t>Multi Coating 50/1.8 electric</t>
  </si>
  <si>
    <t>135/2 ED UMC</t>
  </si>
  <si>
    <t>35/1.4  MC/SC Nokton</t>
  </si>
  <si>
    <t>17k</t>
  </si>
  <si>
    <t>Leica-R manual focus 3-cam</t>
  </si>
  <si>
    <t>1.4x</t>
  </si>
  <si>
    <t>XF1.4xTCWRTeleconverter</t>
  </si>
  <si>
    <t>SP 85/1.8 Di VC USD</t>
  </si>
  <si>
    <t>SP 90/2.8 Di Macro 1:1</t>
  </si>
  <si>
    <t>SP 90/2.8 Di VC Macro 1:1</t>
  </si>
  <si>
    <t>SP 90/2.8 Di VC USD Macro 1:1</t>
  </si>
  <si>
    <t>Fujinon XF 14/2.8 R</t>
  </si>
  <si>
    <t>Fujinon XF 16/1.4 R</t>
  </si>
  <si>
    <t>Fujinon XF 18/2 R</t>
  </si>
  <si>
    <t>Fujinon XF 23/1.4 R</t>
  </si>
  <si>
    <t>Fujinon XF 27/2.8 R</t>
  </si>
  <si>
    <t>Fujinon XF 35/1.4 R</t>
  </si>
  <si>
    <t>Fujinon XF 35/2 R</t>
  </si>
  <si>
    <t>Fujinon XF 56/1.2 R</t>
  </si>
  <si>
    <t>Fujinon XF 90/2 R</t>
  </si>
  <si>
    <t>Fujinon XF 16-55/2.8 RW R</t>
  </si>
  <si>
    <t>Fujinon XF 56/1.2 R APD</t>
  </si>
  <si>
    <t>Fujinon XF 60/2.4 R Macro</t>
  </si>
  <si>
    <t>Fujinon XF 10-24/4 OIS</t>
  </si>
  <si>
    <t>FujinonXC16-50/3.5-5.6 OIS</t>
  </si>
  <si>
    <t>Fujinon XF 18-55/2.8-4 OIS</t>
  </si>
  <si>
    <t>FujinonXC50-230/4.5-6.7 OIS</t>
  </si>
  <si>
    <t>Fujinon XF 55-200/3.5-4.8 OIS</t>
  </si>
  <si>
    <t>Fujinon XF 18-135/2.8-4 OIS W R</t>
  </si>
  <si>
    <t>Fujinon XF 50-140/2.8 OIS W R</t>
  </si>
  <si>
    <t>WCL-X100 wide conversion</t>
  </si>
  <si>
    <t>TCL-X100 normal conversion</t>
  </si>
  <si>
    <t>Fujinon XF 100-400mm R LM OIS</t>
  </si>
  <si>
    <t>.16-02</t>
  </si>
  <si>
    <t>16/2.8</t>
  </si>
  <si>
    <t>.16-03</t>
  </si>
  <si>
    <t>.2016-04-06</t>
  </si>
  <si>
    <t>SMC Pentax 28/3.5 Shift</t>
  </si>
  <si>
    <t>unprotected page for "=" relationships with previous pages, for easy comparison of items.</t>
  </si>
  <si>
    <t xml:space="preserve">Flektogon 35/2.8 SC Macro </t>
  </si>
  <si>
    <t>Lens$db Prime Lenses</t>
  </si>
  <si>
    <t>Lens$db Zoom Lenses</t>
  </si>
  <si>
    <t>.16-04</t>
  </si>
  <si>
    <t>Zuiko 28/2</t>
  </si>
  <si>
    <t>Zuiko 28/2.8</t>
  </si>
  <si>
    <t>Zuiko 24/2 Auto-W (fe)</t>
  </si>
  <si>
    <t xml:space="preserve">Zuiko 24/2.8 H.Zuiko </t>
  </si>
  <si>
    <t>Zuiko 35/2.8 Shift</t>
  </si>
  <si>
    <t>etc.</t>
  </si>
  <si>
    <t>Angenieux</t>
  </si>
  <si>
    <t>180/2.3 APO</t>
  </si>
  <si>
    <t>2.3</t>
  </si>
  <si>
    <t>Primoplan 58/1.9 V (MC)</t>
  </si>
  <si>
    <t>Primoplan 75/1.9 V (MC)</t>
  </si>
  <si>
    <t>S 35/1.8</t>
  </si>
  <si>
    <t>S 35/2</t>
  </si>
  <si>
    <t>S 50/0.95</t>
  </si>
  <si>
    <t>S 50/1.2</t>
  </si>
  <si>
    <t>S 50/1.4 II</t>
  </si>
  <si>
    <t xml:space="preserve">S 85/1.8 </t>
  </si>
  <si>
    <t>S 100/2</t>
  </si>
  <si>
    <t>S 50/1.5 Serenar sv</t>
  </si>
  <si>
    <t>S 50/1.8 Serenar sv</t>
  </si>
  <si>
    <t>S 85/1.5 Serenar sv</t>
  </si>
  <si>
    <t>S 135/3.5 III</t>
  </si>
  <si>
    <t>S 19/3.5</t>
  </si>
  <si>
    <t>28/2.8 II MC Macro</t>
  </si>
  <si>
    <t>SMC Pentax 30/2.8</t>
  </si>
  <si>
    <t>precis</t>
  </si>
  <si>
    <t>kenmore</t>
  </si>
  <si>
    <t>E.Zuiko 135/3.5 OM</t>
  </si>
  <si>
    <t>75-150</t>
  </si>
  <si>
    <t>Distagon T* 15/3.5 CY [x]</t>
  </si>
  <si>
    <t>F-Distagon 16/2.8 CY</t>
  </si>
  <si>
    <t>Distagon T* 18/4 CY [x]</t>
  </si>
  <si>
    <t>Distagon T* 21/2.8 CY</t>
  </si>
  <si>
    <t>Distagon T* 25/2.8 CY</t>
  </si>
  <si>
    <t>Distagon T* 28/2 CY</t>
  </si>
  <si>
    <t>Distagon T* 28/2.8 CY</t>
  </si>
  <si>
    <t>Distagon T* 35/1.4 CY</t>
  </si>
  <si>
    <t>Distagon T* 35/2.8  CY</t>
  </si>
  <si>
    <t>PC Distagon T* 35/2.8  CY</t>
  </si>
  <si>
    <t>Tessar T* 45/2.8 CY</t>
  </si>
  <si>
    <t>Planar T* 50/1.4 CY</t>
  </si>
  <si>
    <t>Planar T* 50/1.7 CY</t>
  </si>
  <si>
    <t>Planar T* 55/1.2 100 Jahre CY</t>
  </si>
  <si>
    <t>S-Planar T* 60/2.8 CY [1:1]</t>
  </si>
  <si>
    <t>S-Planar 1:2.8 f=60mm CY [1:1]</t>
  </si>
  <si>
    <t>Makro-Planar 1:2.8 f=60mm CY [1:1]</t>
  </si>
  <si>
    <t>Makro-Planar 2.8/60 C CY [1:2]</t>
  </si>
  <si>
    <t>Planar T* 85/1.2 CY</t>
  </si>
  <si>
    <t>Planar T* 85/1.4 CY</t>
  </si>
  <si>
    <t>Sonnar T* 85/2.8 CY</t>
  </si>
  <si>
    <t>Planar T* 100/2 CY</t>
  </si>
  <si>
    <t>Makro-Planar T* 100/2.8 CY [1:1]</t>
  </si>
  <si>
    <t>Sonnar T* 100/3.5 CY</t>
  </si>
  <si>
    <t>S-Planar 100/4 CY (bellows)</t>
  </si>
  <si>
    <t>Planar T* 135/2 CY</t>
  </si>
  <si>
    <t>Sonnar T* 135/2.8 CY</t>
  </si>
  <si>
    <t>Sonnar T* 180/2.8 CY</t>
  </si>
  <si>
    <t>Aposonnar T* 200/2 CY</t>
  </si>
  <si>
    <t>Tele-Tessar T* 200/3.5 CY</t>
  </si>
  <si>
    <t>Tele-Tessar T* 200/4 CY</t>
  </si>
  <si>
    <t>Tele-Apotessar T* 300/2.8 CY</t>
  </si>
  <si>
    <t>Tele-Tessar T* 300/4 MM CY</t>
  </si>
  <si>
    <t>Tele-Apotessar T* 500/5.6 CY</t>
  </si>
  <si>
    <t>Tele-Apotessar T* 800/8 CY</t>
  </si>
  <si>
    <t>vSonnar T* 28-70/3.3-4 CY</t>
  </si>
  <si>
    <t>vSonnar T* 28-85/3.3-4 CY</t>
  </si>
  <si>
    <t>vSonnar T* 35-70/3.4 CY</t>
  </si>
  <si>
    <t>vSonnar T* 35-135/3.3-4.5  CY</t>
  </si>
  <si>
    <t>vSonnar T* 40-80/3.5  CY</t>
  </si>
  <si>
    <t>vSonnar T* 70-210mm f/3.5 CY</t>
  </si>
  <si>
    <t>vSonnar T* 80-200mm f/4 CY</t>
  </si>
  <si>
    <t>vSonnar T* 100-300/4.5-5.6 CY</t>
  </si>
  <si>
    <t>Ultron 50/1.8 M42</t>
  </si>
  <si>
    <t>Biometar 80/2.8 M42</t>
  </si>
  <si>
    <t>d'town</t>
  </si>
  <si>
    <t>SMCP-M 24-35/4</t>
  </si>
  <si>
    <t>SMCP-M 75-150</t>
  </si>
  <si>
    <t>.2016-06-01</t>
  </si>
  <si>
    <t>v.31</t>
  </si>
  <si>
    <t>all.p</t>
  </si>
  <si>
    <t>all.z</t>
  </si>
  <si>
    <t>all Lens$db prime lenses, sorted by focal length</t>
  </si>
  <si>
    <t>all Lens$db zoom lenses, sorted by focal length</t>
  </si>
  <si>
    <t>.16-05</t>
  </si>
  <si>
    <t>EF-S Zoom Lenses</t>
  </si>
  <si>
    <t>Fujifilm X Zoom Lenses</t>
  </si>
  <si>
    <t>EF-S Prime Lenses</t>
  </si>
  <si>
    <t>Fujifilm X and LM/LTM Prime Lenses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</si>
</sst>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
    <numFmt numFmtId="165" formatCode="0.0"/>
  </numFmts>
  <fonts count="12">
    <font>
      <sz val="10"/>
      <name val="Arial"/>
    </font>
    <font>
      <b/>
      <sz val="10"/>
      <name val="Arial"/>
      <family val="2"/>
    </font>
    <font>
      <sz val="10"/>
      <name val="Arial"/>
      <family val="2"/>
    </font>
    <font>
      <sz val="10"/>
      <color indexed="8"/>
      <name val="Arial"/>
      <family val="2"/>
    </font>
    <font>
      <b/>
      <sz val="8"/>
      <name val="Arial"/>
      <family val="2"/>
    </font>
    <font>
      <sz val="8"/>
      <name val="Arial"/>
      <family val="2"/>
    </font>
    <font>
      <sz val="9"/>
      <name val="Arial"/>
      <family val="2"/>
    </font>
    <font>
      <sz val="8"/>
      <color indexed="8"/>
      <name val="Arial"/>
      <family val="2"/>
    </font>
    <font>
      <sz val="7"/>
      <name val="Arial"/>
      <family val="2"/>
    </font>
    <font>
      <b/>
      <sz val="9"/>
      <name val="Arial"/>
      <family val="2"/>
    </font>
    <font>
      <i/>
      <sz val="8"/>
      <name val="Arial"/>
      <family val="2"/>
    </font>
    <font>
      <b/>
      <i/>
      <sz val="8"/>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310">
    <xf numFmtId="0" fontId="0" fillId="0" borderId="0" xfId="0"/>
    <xf numFmtId="0" fontId="1" fillId="0" borderId="0" xfId="0" applyFont="1" applyAlignment="1"/>
    <xf numFmtId="0" fontId="2" fillId="0" borderId="0" xfId="0" applyFont="1" applyAlignment="1"/>
    <xf numFmtId="0" fontId="1" fillId="0" borderId="0" xfId="0" applyFont="1" applyAlignment="1">
      <alignment horizontal="left"/>
    </xf>
    <xf numFmtId="0" fontId="1" fillId="0" borderId="0" xfId="0" applyFont="1" applyBorder="1" applyAlignment="1">
      <alignment horizontal="left"/>
    </xf>
    <xf numFmtId="0" fontId="2" fillId="0" borderId="0" xfId="0" applyFont="1" applyBorder="1" applyAlignment="1"/>
    <xf numFmtId="1" fontId="1" fillId="0" borderId="0" xfId="0" applyNumberFormat="1" applyFont="1" applyBorder="1" applyAlignment="1">
      <alignment horizontal="left"/>
    </xf>
    <xf numFmtId="165" fontId="1" fillId="0" borderId="0" xfId="0" applyNumberFormat="1" applyFont="1" applyBorder="1" applyAlignment="1">
      <alignment horizontal="left"/>
    </xf>
    <xf numFmtId="2" fontId="1" fillId="0" borderId="0" xfId="0" applyNumberFormat="1" applyFont="1" applyBorder="1" applyAlignment="1">
      <alignment horizontal="left"/>
    </xf>
    <xf numFmtId="0" fontId="2" fillId="0" borderId="0" xfId="0" applyFont="1" applyBorder="1" applyAlignment="1">
      <alignment horizontal="left"/>
    </xf>
    <xf numFmtId="0" fontId="4" fillId="0" borderId="0" xfId="0" applyFont="1" applyAlignment="1">
      <alignment horizontal="left"/>
    </xf>
    <xf numFmtId="1" fontId="5" fillId="0" borderId="0" xfId="0" applyNumberFormat="1" applyFont="1" applyBorder="1" applyAlignment="1"/>
    <xf numFmtId="1" fontId="4" fillId="0" borderId="0" xfId="0" applyNumberFormat="1" applyFont="1" applyBorder="1" applyAlignment="1">
      <alignment horizontal="center"/>
    </xf>
    <xf numFmtId="0" fontId="4" fillId="0" borderId="0" xfId="0" applyFont="1" applyBorder="1" applyAlignment="1">
      <alignment horizontal="center"/>
    </xf>
    <xf numFmtId="49" fontId="5" fillId="0" borderId="0" xfId="0" applyNumberFormat="1" applyFont="1" applyAlignment="1">
      <alignment horizontal="center"/>
    </xf>
    <xf numFmtId="1" fontId="5" fillId="0" borderId="0" xfId="0" applyNumberFormat="1" applyFont="1" applyAlignment="1">
      <alignment horizontal="center"/>
    </xf>
    <xf numFmtId="1" fontId="5" fillId="0" borderId="0" xfId="0" applyNumberFormat="1"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Alignment="1"/>
    <xf numFmtId="0" fontId="4" fillId="0" borderId="0" xfId="0" applyFont="1" applyBorder="1" applyAlignment="1">
      <alignment horizontal="left"/>
    </xf>
    <xf numFmtId="0" fontId="4" fillId="0" borderId="1" xfId="0" applyFont="1" applyBorder="1" applyAlignment="1"/>
    <xf numFmtId="1" fontId="5" fillId="0" borderId="1" xfId="0" applyNumberFormat="1" applyFont="1" applyBorder="1" applyAlignment="1"/>
    <xf numFmtId="0" fontId="4" fillId="0" borderId="1" xfId="0" applyFont="1" applyBorder="1" applyAlignment="1">
      <alignment horizontal="center"/>
    </xf>
    <xf numFmtId="49" fontId="5" fillId="0" borderId="1" xfId="0" applyNumberFormat="1" applyFont="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5" fillId="0" borderId="1" xfId="0" applyNumberFormat="1" applyFont="1" applyBorder="1" applyAlignment="1">
      <alignment horizontal="center"/>
    </xf>
    <xf numFmtId="1" fontId="5" fillId="0" borderId="5" xfId="0" applyNumberFormat="1" applyFont="1" applyBorder="1" applyAlignment="1">
      <alignment horizontal="center"/>
    </xf>
    <xf numFmtId="1" fontId="5" fillId="0" borderId="6" xfId="0" applyNumberFormat="1" applyFont="1" applyBorder="1" applyAlignment="1">
      <alignment horizontal="center"/>
    </xf>
    <xf numFmtId="0" fontId="4" fillId="0" borderId="0" xfId="0" applyFont="1" applyBorder="1" applyAlignment="1"/>
    <xf numFmtId="1" fontId="5" fillId="0" borderId="8" xfId="0" applyNumberFormat="1" applyFont="1" applyBorder="1" applyAlignment="1">
      <alignment horizontal="center"/>
    </xf>
    <xf numFmtId="1" fontId="5" fillId="0" borderId="3" xfId="0" applyNumberFormat="1" applyFont="1" applyBorder="1" applyAlignment="1">
      <alignment horizontal="left"/>
    </xf>
    <xf numFmtId="1" fontId="5" fillId="0" borderId="9" xfId="0" applyNumberFormat="1" applyFont="1" applyBorder="1" applyAlignment="1">
      <alignment horizontal="center"/>
    </xf>
    <xf numFmtId="1" fontId="5" fillId="0" borderId="1" xfId="0" applyNumberFormat="1" applyFont="1" applyBorder="1" applyAlignment="1">
      <alignment horizontal="left"/>
    </xf>
    <xf numFmtId="1" fontId="5" fillId="0" borderId="4"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xf numFmtId="0" fontId="5" fillId="0" borderId="1" xfId="0" applyFont="1" applyBorder="1" applyAlignment="1"/>
    <xf numFmtId="0" fontId="5" fillId="0" borderId="8" xfId="0" applyFont="1" applyBorder="1" applyAlignment="1">
      <alignment horizontal="center"/>
    </xf>
    <xf numFmtId="1" fontId="5" fillId="0" borderId="10" xfId="0" applyNumberFormat="1"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0" xfId="0" applyFont="1" applyBorder="1"/>
    <xf numFmtId="165" fontId="5" fillId="0" borderId="0" xfId="0" applyNumberFormat="1" applyFont="1" applyBorder="1" applyAlignment="1">
      <alignment horizontal="center"/>
    </xf>
    <xf numFmtId="1" fontId="4" fillId="0" borderId="0" xfId="0" applyNumberFormat="1" applyFont="1" applyBorder="1" applyAlignment="1"/>
    <xf numFmtId="1" fontId="4" fillId="0" borderId="0" xfId="0" applyNumberFormat="1" applyFont="1" applyBorder="1" applyAlignment="1">
      <alignment horizontal="left"/>
    </xf>
    <xf numFmtId="1" fontId="5" fillId="0" borderId="0" xfId="0" applyNumberFormat="1" applyFont="1" applyBorder="1" applyAlignment="1">
      <alignment horizontal="left"/>
    </xf>
    <xf numFmtId="165" fontId="5" fillId="0" borderId="0" xfId="0" applyNumberFormat="1" applyFont="1" applyAlignment="1">
      <alignment horizontal="center"/>
    </xf>
    <xf numFmtId="1" fontId="4" fillId="0" borderId="1" xfId="0" applyNumberFormat="1" applyFont="1" applyBorder="1" applyAlignment="1"/>
    <xf numFmtId="164" fontId="5" fillId="0" borderId="1" xfId="0" applyNumberFormat="1" applyFont="1" applyBorder="1" applyAlignment="1">
      <alignment horizontal="center"/>
    </xf>
    <xf numFmtId="1" fontId="4" fillId="0" borderId="4" xfId="0" applyNumberFormat="1" applyFont="1" applyBorder="1" applyAlignment="1"/>
    <xf numFmtId="165" fontId="5" fillId="0" borderId="10" xfId="0" applyNumberFormat="1" applyFont="1" applyBorder="1" applyAlignment="1">
      <alignment horizontal="center"/>
    </xf>
    <xf numFmtId="2" fontId="5" fillId="0" borderId="0" xfId="0" applyNumberFormat="1" applyFont="1" applyBorder="1" applyAlignment="1">
      <alignment horizontal="center"/>
    </xf>
    <xf numFmtId="1" fontId="5" fillId="0" borderId="4" xfId="0" applyNumberFormat="1" applyFont="1" applyBorder="1" applyAlignment="1"/>
    <xf numFmtId="165" fontId="5" fillId="0" borderId="3" xfId="0" applyNumberFormat="1" applyFont="1" applyBorder="1" applyAlignment="1">
      <alignment horizontal="center"/>
    </xf>
    <xf numFmtId="2" fontId="5" fillId="0" borderId="1" xfId="0" applyNumberFormat="1" applyFont="1" applyBorder="1" applyAlignment="1">
      <alignment horizontal="center"/>
    </xf>
    <xf numFmtId="0" fontId="5" fillId="0" borderId="0" xfId="0" applyFont="1" applyBorder="1" applyAlignment="1">
      <alignment horizontal="left"/>
    </xf>
    <xf numFmtId="165" fontId="5" fillId="0" borderId="2" xfId="0" applyNumberFormat="1" applyFont="1" applyBorder="1" applyAlignment="1">
      <alignment horizontal="center"/>
    </xf>
    <xf numFmtId="0" fontId="5" fillId="0" borderId="1" xfId="0" applyFont="1" applyBorder="1" applyAlignment="1">
      <alignment horizontal="left"/>
    </xf>
    <xf numFmtId="1" fontId="5" fillId="0" borderId="0" xfId="0" applyNumberFormat="1" applyFont="1" applyAlignment="1"/>
    <xf numFmtId="165" fontId="4" fillId="0" borderId="0" xfId="0" applyNumberFormat="1" applyFont="1" applyBorder="1" applyAlignment="1"/>
    <xf numFmtId="165" fontId="5" fillId="0" borderId="1" xfId="0" applyNumberFormat="1" applyFont="1" applyBorder="1" applyAlignment="1">
      <alignment horizontal="center"/>
    </xf>
    <xf numFmtId="49" fontId="5" fillId="0" borderId="0" xfId="0" applyNumberFormat="1" applyFont="1" applyBorder="1" applyAlignment="1"/>
    <xf numFmtId="49" fontId="5" fillId="0" borderId="1" xfId="0" applyNumberFormat="1" applyFont="1" applyBorder="1" applyAlignment="1"/>
    <xf numFmtId="0" fontId="5" fillId="0" borderId="12" xfId="0" applyFont="1" applyBorder="1" applyAlignment="1">
      <alignment horizontal="center"/>
    </xf>
    <xf numFmtId="0" fontId="5" fillId="0" borderId="13" xfId="0" applyFont="1" applyBorder="1" applyAlignment="1">
      <alignment horizontal="center"/>
    </xf>
    <xf numFmtId="1" fontId="4" fillId="0" borderId="2" xfId="0" applyNumberFormat="1" applyFont="1" applyBorder="1" applyAlignment="1">
      <alignment horizontal="center"/>
    </xf>
    <xf numFmtId="0" fontId="5" fillId="0" borderId="5" xfId="0" applyFont="1" applyBorder="1" applyAlignment="1"/>
    <xf numFmtId="0" fontId="5" fillId="0" borderId="5" xfId="0" applyFont="1" applyBorder="1" applyAlignment="1">
      <alignment horizontal="center"/>
    </xf>
    <xf numFmtId="165" fontId="5" fillId="0" borderId="5" xfId="0" applyNumberFormat="1" applyFont="1" applyBorder="1" applyAlignment="1">
      <alignment horizontal="center"/>
    </xf>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49" fontId="5" fillId="0" borderId="8" xfId="0" applyNumberFormat="1" applyFont="1" applyBorder="1" applyAlignment="1">
      <alignment horizontal="center"/>
    </xf>
    <xf numFmtId="2" fontId="5" fillId="0" borderId="0" xfId="0" applyNumberFormat="1" applyFont="1" applyAlignment="1">
      <alignment horizontal="center"/>
    </xf>
    <xf numFmtId="0" fontId="5" fillId="0" borderId="0" xfId="0" applyFont="1" applyAlignment="1">
      <alignment horizontal="left"/>
    </xf>
    <xf numFmtId="165" fontId="4" fillId="0" borderId="1" xfId="0" applyNumberFormat="1" applyFont="1" applyBorder="1" applyAlignment="1"/>
    <xf numFmtId="164" fontId="5" fillId="0" borderId="1" xfId="0" applyNumberFormat="1" applyFont="1" applyBorder="1" applyAlignment="1">
      <alignment horizontal="left"/>
    </xf>
    <xf numFmtId="0" fontId="4" fillId="0" borderId="4" xfId="0" applyFont="1" applyBorder="1" applyAlignment="1"/>
    <xf numFmtId="2" fontId="5" fillId="0" borderId="2" xfId="0" applyNumberFormat="1" applyFont="1" applyBorder="1" applyAlignment="1">
      <alignment horizontal="center"/>
    </xf>
    <xf numFmtId="2" fontId="5" fillId="0" borderId="3" xfId="0" applyNumberFormat="1" applyFont="1" applyBorder="1" applyAlignment="1">
      <alignment horizontal="center"/>
    </xf>
    <xf numFmtId="0" fontId="5" fillId="0" borderId="2" xfId="0" applyFont="1" applyBorder="1" applyAlignment="1">
      <alignment horizontal="center"/>
    </xf>
    <xf numFmtId="1" fontId="4" fillId="0" borderId="3" xfId="0" applyNumberFormat="1" applyFont="1" applyBorder="1" applyAlignment="1">
      <alignment horizontal="center"/>
    </xf>
    <xf numFmtId="1" fontId="5" fillId="0" borderId="7" xfId="0" applyNumberFormat="1" applyFont="1" applyBorder="1" applyAlignment="1">
      <alignment horizontal="center"/>
    </xf>
    <xf numFmtId="0" fontId="5" fillId="0" borderId="12" xfId="0" applyNumberFormat="1" applyFont="1" applyBorder="1" applyAlignment="1">
      <alignment horizontal="center"/>
    </xf>
    <xf numFmtId="2" fontId="5" fillId="0" borderId="13" xfId="0" applyNumberFormat="1" applyFont="1" applyBorder="1" applyAlignment="1">
      <alignment horizontal="center"/>
    </xf>
    <xf numFmtId="2" fontId="5" fillId="0" borderId="12" xfId="0" applyNumberFormat="1" applyFont="1" applyBorder="1" applyAlignment="1">
      <alignment horizontal="center"/>
    </xf>
    <xf numFmtId="0" fontId="7" fillId="0" borderId="0" xfId="0" applyFont="1" applyBorder="1" applyAlignment="1">
      <alignment horizontal="left"/>
    </xf>
    <xf numFmtId="16" fontId="5" fillId="0" borderId="0" xfId="0" applyNumberFormat="1" applyFont="1" applyBorder="1" applyAlignment="1">
      <alignment horizontal="left"/>
    </xf>
    <xf numFmtId="0" fontId="5" fillId="0" borderId="10" xfId="0" applyFont="1" applyBorder="1" applyAlignment="1">
      <alignment horizontal="center"/>
    </xf>
    <xf numFmtId="1" fontId="5" fillId="0" borderId="14" xfId="0" applyNumberFormat="1" applyFont="1" applyBorder="1" applyAlignment="1">
      <alignment horizontal="center"/>
    </xf>
    <xf numFmtId="0" fontId="5" fillId="0" borderId="0" xfId="0" applyFont="1" applyBorder="1" applyAlignment="1" applyProtection="1">
      <alignment horizontal="left"/>
      <protection locked="0"/>
    </xf>
    <xf numFmtId="1" fontId="5" fillId="0" borderId="0"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5" fontId="5" fillId="0" borderId="2" xfId="0" applyNumberFormat="1" applyFont="1" applyBorder="1" applyAlignment="1" applyProtection="1">
      <alignment horizontal="center"/>
      <protection locked="0"/>
    </xf>
    <xf numFmtId="2" fontId="5" fillId="0" borderId="0"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165" fontId="5" fillId="0" borderId="0" xfId="0" applyNumberFormat="1" applyFont="1" applyBorder="1" applyAlignment="1" applyProtection="1">
      <alignment horizontal="center"/>
      <protection locked="0"/>
    </xf>
    <xf numFmtId="1" fontId="5" fillId="0" borderId="0" xfId="0" applyNumberFormat="1" applyFont="1" applyAlignment="1" applyProtection="1">
      <alignment horizontal="center"/>
      <protection locked="0"/>
    </xf>
    <xf numFmtId="1" fontId="4" fillId="0" borderId="2" xfId="0" applyNumberFormat="1" applyFont="1" applyBorder="1" applyAlignment="1" applyProtection="1">
      <alignment horizontal="center"/>
      <protection locked="0"/>
    </xf>
    <xf numFmtId="0" fontId="5" fillId="0" borderId="1" xfId="0" applyFont="1" applyBorder="1" applyAlignment="1" applyProtection="1">
      <alignment horizontal="left"/>
      <protection locked="0"/>
    </xf>
    <xf numFmtId="1" fontId="5" fillId="0" borderId="1"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2" fontId="5" fillId="0" borderId="3" xfId="0" applyNumberFormat="1" applyFont="1" applyBorder="1" applyAlignment="1" applyProtection="1">
      <alignment horizontal="center"/>
      <protection locked="0"/>
    </xf>
    <xf numFmtId="165" fontId="5" fillId="0" borderId="3" xfId="0" applyNumberFormat="1"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1" fontId="5" fillId="0" borderId="9"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0" fontId="5" fillId="0" borderId="0" xfId="0" applyFont="1" applyBorder="1" applyAlignment="1" applyProtection="1">
      <alignment horizontal="center"/>
      <protection locked="0"/>
    </xf>
    <xf numFmtId="1" fontId="5" fillId="0" borderId="3"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2" fontId="5" fillId="0" borderId="8"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1" fontId="5" fillId="0" borderId="7" xfId="0" applyNumberFormat="1" applyFont="1" applyBorder="1" applyAlignment="1" applyProtection="1">
      <alignment horizontal="center"/>
      <protection locked="0"/>
    </xf>
    <xf numFmtId="0" fontId="5" fillId="2" borderId="0" xfId="0" applyFont="1" applyFill="1" applyAlignment="1"/>
    <xf numFmtId="49" fontId="5" fillId="0" borderId="13" xfId="0" applyNumberFormat="1" applyFont="1" applyBorder="1" applyAlignment="1">
      <alignment horizontal="center"/>
    </xf>
    <xf numFmtId="16" fontId="5" fillId="0" borderId="8" xfId="0" applyNumberFormat="1" applyFont="1" applyBorder="1" applyAlignment="1">
      <alignment horizontal="center"/>
    </xf>
    <xf numFmtId="0" fontId="4" fillId="0" borderId="5" xfId="0" applyFont="1" applyBorder="1" applyAlignment="1"/>
    <xf numFmtId="0" fontId="5" fillId="0" borderId="15" xfId="0" applyFont="1" applyBorder="1" applyAlignment="1">
      <alignment horizontal="center"/>
    </xf>
    <xf numFmtId="0" fontId="2" fillId="2" borderId="0" xfId="0" applyFont="1" applyFill="1" applyBorder="1" applyAlignment="1">
      <alignment horizontal="center"/>
    </xf>
    <xf numFmtId="49" fontId="5" fillId="0" borderId="9" xfId="0" applyNumberFormat="1" applyFont="1" applyBorder="1" applyAlignment="1">
      <alignment horizontal="center"/>
    </xf>
    <xf numFmtId="49" fontId="5" fillId="0" borderId="1" xfId="0" applyNumberFormat="1" applyFont="1" applyBorder="1" applyAlignment="1">
      <alignment horizontal="left"/>
    </xf>
    <xf numFmtId="1" fontId="5" fillId="0" borderId="6" xfId="0" applyNumberFormat="1" applyFont="1" applyBorder="1" applyAlignment="1">
      <alignment horizontal="left"/>
    </xf>
    <xf numFmtId="1" fontId="5" fillId="0" borderId="5" xfId="0" applyNumberFormat="1" applyFont="1" applyBorder="1" applyAlignment="1"/>
    <xf numFmtId="164" fontId="5" fillId="0" borderId="9" xfId="0" applyNumberFormat="1" applyFont="1" applyBorder="1" applyAlignment="1">
      <alignment horizontal="center"/>
    </xf>
    <xf numFmtId="1" fontId="4" fillId="0" borderId="0" xfId="0" applyNumberFormat="1" applyFont="1" applyBorder="1" applyAlignment="1" applyProtection="1">
      <alignment horizontal="center"/>
      <protection locked="0"/>
    </xf>
    <xf numFmtId="2" fontId="5" fillId="0" borderId="14" xfId="0" applyNumberFormat="1" applyFont="1" applyBorder="1" applyAlignment="1">
      <alignment horizontal="center"/>
    </xf>
    <xf numFmtId="0" fontId="5" fillId="0" borderId="3" xfId="0" applyNumberFormat="1" applyFont="1" applyBorder="1" applyAlignment="1">
      <alignment horizontal="center"/>
    </xf>
    <xf numFmtId="0" fontId="5" fillId="0" borderId="2" xfId="0" applyNumberFormat="1" applyFont="1" applyBorder="1" applyAlignment="1">
      <alignment horizontal="center"/>
    </xf>
    <xf numFmtId="0" fontId="7" fillId="0" borderId="0" xfId="0" applyFont="1" applyFill="1" applyBorder="1" applyAlignment="1">
      <alignment wrapText="1"/>
    </xf>
    <xf numFmtId="1" fontId="4" fillId="0" borderId="10" xfId="0" applyNumberFormat="1" applyFont="1" applyBorder="1" applyAlignment="1"/>
    <xf numFmtId="0" fontId="5" fillId="0" borderId="14" xfId="0" applyFont="1" applyBorder="1" applyAlignment="1"/>
    <xf numFmtId="0" fontId="4" fillId="0" borderId="10" xfId="0" applyFont="1" applyBorder="1" applyAlignment="1"/>
    <xf numFmtId="1" fontId="5" fillId="0" borderId="14" xfId="0" applyNumberFormat="1" applyFont="1" applyBorder="1" applyAlignment="1">
      <alignment horizontal="left"/>
    </xf>
    <xf numFmtId="0" fontId="5" fillId="0" borderId="4" xfId="0" applyFont="1" applyBorder="1" applyAlignment="1"/>
    <xf numFmtId="165" fontId="8" fillId="0" borderId="2" xfId="0" applyNumberFormat="1" applyFont="1" applyBorder="1" applyAlignment="1" applyProtection="1">
      <alignment horizontal="center"/>
      <protection locked="0"/>
    </xf>
    <xf numFmtId="1" fontId="4" fillId="0" borderId="3" xfId="0" applyNumberFormat="1" applyFont="1" applyBorder="1" applyAlignment="1" applyProtection="1">
      <alignment horizontal="center"/>
      <protection locked="0"/>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left"/>
    </xf>
    <xf numFmtId="0" fontId="5" fillId="0" borderId="1" xfId="0" applyFont="1" applyBorder="1" applyAlignment="1">
      <alignment horizontal="left"/>
    </xf>
    <xf numFmtId="0" fontId="0" fillId="0" borderId="0" xfId="0"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Font="1" applyFill="1" applyBorder="1" applyAlignment="1">
      <alignment horizontal="center"/>
    </xf>
    <xf numFmtId="0" fontId="5" fillId="0" borderId="0" xfId="0" applyFont="1" applyFill="1" applyAlignment="1"/>
    <xf numFmtId="1" fontId="4" fillId="0" borderId="0" xfId="0" applyNumberFormat="1" applyFont="1" applyFill="1" applyBorder="1" applyAlignment="1"/>
    <xf numFmtId="1" fontId="4" fillId="0" borderId="0" xfId="0" applyNumberFormat="1" applyFont="1" applyFill="1" applyBorder="1" applyAlignment="1">
      <alignment horizontal="left"/>
    </xf>
    <xf numFmtId="165" fontId="4" fillId="0" borderId="0" xfId="0" applyNumberFormat="1" applyFont="1" applyFill="1" applyBorder="1" applyAlignment="1">
      <alignment horizontal="left"/>
    </xf>
    <xf numFmtId="2" fontId="4" fillId="0" borderId="0" xfId="0" applyNumberFormat="1" applyFont="1" applyFill="1" applyBorder="1" applyAlignment="1"/>
    <xf numFmtId="165" fontId="4" fillId="0" borderId="0" xfId="0" applyNumberFormat="1" applyFont="1" applyFill="1" applyBorder="1" applyAlignment="1"/>
    <xf numFmtId="1" fontId="5" fillId="0" borderId="0" xfId="0" applyNumberFormat="1" applyFont="1" applyFill="1" applyAlignment="1">
      <alignment horizontal="center"/>
    </xf>
    <xf numFmtId="0" fontId="5" fillId="0" borderId="0" xfId="0" applyFont="1" applyFill="1" applyAlignment="1">
      <alignment horizontal="center"/>
    </xf>
    <xf numFmtId="1" fontId="5"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xf numFmtId="49" fontId="5" fillId="0" borderId="0" xfId="0" applyNumberFormat="1" applyFont="1" applyFill="1" applyBorder="1" applyAlignment="1">
      <alignment horizontal="center"/>
    </xf>
    <xf numFmtId="0" fontId="5" fillId="0" borderId="0" xfId="0" applyFont="1" applyFill="1" applyBorder="1" applyAlignment="1"/>
    <xf numFmtId="0" fontId="9" fillId="0" borderId="0" xfId="0" applyFont="1" applyFill="1" applyBorder="1" applyAlignment="1">
      <alignment horizontal="center"/>
    </xf>
    <xf numFmtId="0" fontId="6" fillId="0" borderId="0" xfId="0" applyFont="1" applyFill="1" applyAlignment="1"/>
    <xf numFmtId="1" fontId="6"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165" fontId="6" fillId="0" borderId="0" xfId="0" applyNumberFormat="1" applyFont="1" applyFill="1" applyAlignment="1">
      <alignment horizontal="center"/>
    </xf>
    <xf numFmtId="1" fontId="6" fillId="0" borderId="0" xfId="0" applyNumberFormat="1" applyFont="1" applyFill="1" applyAlignment="1"/>
    <xf numFmtId="165" fontId="5" fillId="0" borderId="0" xfId="0" applyNumberFormat="1" applyFont="1" applyFill="1" applyAlignment="1">
      <alignment horizontal="center"/>
    </xf>
    <xf numFmtId="2" fontId="5" fillId="0" borderId="0" xfId="0" applyNumberFormat="1" applyFont="1" applyFill="1" applyAlignment="1">
      <alignment horizontal="center"/>
    </xf>
    <xf numFmtId="1" fontId="5" fillId="0" borderId="1" xfId="0" applyNumberFormat="1" applyFont="1" applyFill="1" applyBorder="1" applyAlignment="1">
      <alignment horizontal="center"/>
    </xf>
    <xf numFmtId="1" fontId="4" fillId="0" borderId="1" xfId="0" applyNumberFormat="1" applyFont="1" applyFill="1" applyBorder="1" applyAlignment="1"/>
    <xf numFmtId="165" fontId="4" fillId="0" borderId="1" xfId="0" applyNumberFormat="1" applyFont="1" applyFill="1" applyBorder="1" applyAlignment="1"/>
    <xf numFmtId="164"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1" fontId="4" fillId="0" borderId="4" xfId="0" applyNumberFormat="1" applyFont="1" applyFill="1" applyBorder="1" applyAlignment="1"/>
    <xf numFmtId="1" fontId="5" fillId="0" borderId="5" xfId="0" applyNumberFormat="1" applyFont="1" applyFill="1" applyBorder="1" applyAlignment="1">
      <alignment horizontal="center"/>
    </xf>
    <xf numFmtId="1" fontId="5" fillId="0" borderId="5" xfId="0" applyNumberFormat="1" applyFont="1" applyFill="1" applyBorder="1" applyAlignment="1">
      <alignment horizontal="left"/>
    </xf>
    <xf numFmtId="1" fontId="5" fillId="0" borderId="6" xfId="0" applyNumberFormat="1" applyFont="1" applyFill="1" applyBorder="1" applyAlignment="1">
      <alignment horizontal="left"/>
    </xf>
    <xf numFmtId="1" fontId="5" fillId="0" borderId="0" xfId="0" applyNumberFormat="1" applyFont="1" applyFill="1" applyBorder="1" applyAlignment="1"/>
    <xf numFmtId="165" fontId="5" fillId="0" borderId="0" xfId="0" applyNumberFormat="1" applyFont="1" applyFill="1" applyBorder="1" applyAlignment="1">
      <alignment horizontal="center"/>
    </xf>
    <xf numFmtId="165" fontId="5"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1" fontId="5" fillId="0" borderId="3" xfId="0" applyNumberFormat="1" applyFont="1" applyFill="1" applyBorder="1" applyAlignment="1">
      <alignment horizontal="left"/>
    </xf>
    <xf numFmtId="1" fontId="5" fillId="0" borderId="9" xfId="0" applyNumberFormat="1" applyFont="1" applyFill="1" applyBorder="1" applyAlignment="1">
      <alignment horizontal="center"/>
    </xf>
    <xf numFmtId="1" fontId="5" fillId="0" borderId="1" xfId="0" applyNumberFormat="1" applyFont="1" applyFill="1" applyBorder="1" applyAlignment="1">
      <alignment horizontal="left"/>
    </xf>
    <xf numFmtId="1" fontId="5" fillId="0" borderId="11" xfId="0" applyNumberFormat="1" applyFont="1" applyFill="1" applyBorder="1" applyAlignment="1"/>
    <xf numFmtId="1" fontId="5" fillId="0" borderId="4" xfId="0" applyNumberFormat="1" applyFont="1" applyFill="1" applyBorder="1" applyAlignment="1">
      <alignment horizontal="center"/>
    </xf>
    <xf numFmtId="1" fontId="5" fillId="0" borderId="4" xfId="0" applyNumberFormat="1" applyFont="1" applyFill="1" applyBorder="1" applyAlignment="1"/>
    <xf numFmtId="0" fontId="5" fillId="0" borderId="1" xfId="0" applyFont="1" applyFill="1" applyBorder="1" applyAlignment="1"/>
    <xf numFmtId="1" fontId="5" fillId="0" borderId="1" xfId="0" applyNumberFormat="1" applyFont="1" applyFill="1" applyBorder="1" applyAlignment="1"/>
    <xf numFmtId="165" fontId="5"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0" xfId="0" applyNumberFormat="1" applyFont="1" applyFill="1" applyAlignment="1"/>
    <xf numFmtId="0" fontId="5" fillId="0" borderId="0" xfId="0" applyFont="1" applyFill="1" applyAlignment="1">
      <alignment horizontal="left"/>
    </xf>
    <xf numFmtId="49" fontId="5" fillId="0" borderId="0" xfId="0" applyNumberFormat="1" applyFont="1" applyFill="1" applyAlignment="1">
      <alignment horizontal="center"/>
    </xf>
    <xf numFmtId="2" fontId="5" fillId="0" borderId="13" xfId="0" applyNumberFormat="1" applyFont="1" applyFill="1" applyBorder="1" applyAlignment="1">
      <alignment horizontal="center"/>
    </xf>
    <xf numFmtId="1" fontId="5" fillId="0" borderId="2" xfId="0" applyNumberFormat="1" applyFont="1" applyFill="1" applyBorder="1" applyAlignment="1">
      <alignment horizontal="center"/>
    </xf>
    <xf numFmtId="0" fontId="5" fillId="0" borderId="8" xfId="0" applyFont="1" applyFill="1" applyBorder="1" applyAlignment="1">
      <alignment horizontal="center"/>
    </xf>
    <xf numFmtId="0" fontId="5" fillId="0" borderId="1" xfId="0" applyFont="1" applyFill="1" applyBorder="1" applyAlignment="1">
      <alignment horizontal="left"/>
    </xf>
    <xf numFmtId="49" fontId="5" fillId="0" borderId="1" xfId="0" applyNumberFormat="1" applyFont="1" applyFill="1" applyBorder="1" applyAlignment="1">
      <alignment horizontal="center"/>
    </xf>
    <xf numFmtId="2" fontId="5" fillId="0" borderId="12" xfId="0" applyNumberFormat="1" applyFont="1" applyFill="1" applyBorder="1" applyAlignment="1">
      <alignment horizontal="center"/>
    </xf>
    <xf numFmtId="0" fontId="5" fillId="0" borderId="9" xfId="0" applyFont="1" applyFill="1" applyBorder="1" applyAlignment="1">
      <alignment horizontal="center"/>
    </xf>
    <xf numFmtId="0" fontId="1" fillId="0" borderId="0" xfId="0" applyFont="1" applyAlignment="1">
      <alignment horizontal="center"/>
    </xf>
    <xf numFmtId="0" fontId="5" fillId="0" borderId="0" xfId="0" applyNumberFormat="1" applyFont="1" applyBorder="1" applyAlignment="1">
      <alignment horizontal="center"/>
    </xf>
    <xf numFmtId="0" fontId="5" fillId="0" borderId="1"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left"/>
    </xf>
    <xf numFmtId="0" fontId="5" fillId="0" borderId="13" xfId="0" applyFont="1" applyFill="1" applyBorder="1" applyAlignment="1">
      <alignment horizontal="center"/>
    </xf>
    <xf numFmtId="165"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pplyProtection="1">
      <alignment horizontal="left"/>
      <protection locked="0"/>
    </xf>
    <xf numFmtId="1" fontId="5"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165" fontId="5" fillId="0" borderId="2"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 fontId="5" fillId="0" borderId="8"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5" fillId="0" borderId="1" xfId="0" applyFont="1" applyFill="1" applyBorder="1" applyAlignment="1" applyProtection="1">
      <alignment horizontal="left"/>
      <protection locked="0"/>
    </xf>
    <xf numFmtId="1" fontId="5" fillId="0" borderId="1"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center"/>
      <protection locked="0"/>
    </xf>
    <xf numFmtId="165" fontId="5" fillId="0" borderId="3" xfId="0" applyNumberFormat="1" applyFont="1" applyFill="1" applyBorder="1" applyAlignment="1" applyProtection="1">
      <alignment horizontal="center"/>
      <protection locked="0"/>
    </xf>
    <xf numFmtId="2" fontId="5" fillId="0" borderId="1" xfId="0" applyNumberFormat="1" applyFont="1" applyFill="1" applyBorder="1" applyAlignment="1" applyProtection="1">
      <alignment horizontal="center"/>
      <protection locked="0"/>
    </xf>
    <xf numFmtId="1" fontId="5" fillId="0" borderId="9" xfId="0" applyNumberFormat="1" applyFont="1" applyFill="1" applyBorder="1" applyAlignment="1" applyProtection="1">
      <alignment horizontal="center"/>
      <protection locked="0"/>
    </xf>
    <xf numFmtId="1" fontId="5" fillId="0" borderId="3" xfId="0" applyNumberFormat="1" applyFont="1" applyFill="1" applyBorder="1" applyAlignment="1" applyProtection="1">
      <alignment horizontal="center"/>
      <protection locked="0"/>
    </xf>
    <xf numFmtId="1" fontId="11" fillId="0"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2" fontId="5" fillId="0" borderId="13" xfId="0" applyNumberFormat="1" applyFont="1" applyFill="1" applyBorder="1" applyAlignment="1" applyProtection="1">
      <alignment horizontal="center"/>
      <protection locked="0"/>
    </xf>
    <xf numFmtId="1" fontId="5" fillId="0" borderId="0" xfId="0" applyNumberFormat="1" applyFont="1" applyFill="1" applyAlignment="1" applyProtection="1">
      <alignment horizontal="center"/>
      <protection locked="0"/>
    </xf>
    <xf numFmtId="1" fontId="4" fillId="0" borderId="2" xfId="0" applyNumberFormat="1" applyFont="1" applyFill="1" applyBorder="1" applyAlignment="1" applyProtection="1">
      <alignment horizontal="center"/>
      <protection locked="0"/>
    </xf>
    <xf numFmtId="0" fontId="4" fillId="0" borderId="5" xfId="0" applyFont="1" applyFill="1" applyBorder="1" applyAlignment="1"/>
    <xf numFmtId="0" fontId="5" fillId="0" borderId="5" xfId="0" applyFont="1" applyFill="1" applyBorder="1" applyAlignment="1"/>
    <xf numFmtId="0" fontId="5" fillId="0" borderId="5" xfId="0" applyFont="1" applyFill="1" applyBorder="1" applyAlignment="1">
      <alignment horizontal="center"/>
    </xf>
    <xf numFmtId="49"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2" fontId="5" fillId="0" borderId="5" xfId="0" applyNumberFormat="1" applyFont="1" applyFill="1" applyBorder="1" applyAlignment="1">
      <alignment horizontal="center"/>
    </xf>
    <xf numFmtId="49" fontId="5" fillId="0" borderId="2"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4" fillId="0" borderId="2" xfId="0" applyNumberFormat="1" applyFont="1" applyFill="1" applyBorder="1" applyAlignment="1" applyProtection="1">
      <alignment horizontal="center"/>
      <protection locked="0"/>
    </xf>
    <xf numFmtId="165" fontId="5" fillId="0" borderId="1"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protection locked="0"/>
    </xf>
    <xf numFmtId="1" fontId="5" fillId="0" borderId="14" xfId="0" applyNumberFormat="1" applyFont="1" applyFill="1" applyBorder="1" applyAlignment="1" applyProtection="1">
      <alignment horizontal="center"/>
      <protection locked="0"/>
    </xf>
    <xf numFmtId="1" fontId="5" fillId="0" borderId="7"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lignment horizontal="left"/>
    </xf>
    <xf numFmtId="2" fontId="5" fillId="0" borderId="8" xfId="0" applyNumberFormat="1" applyFont="1" applyFill="1" applyBorder="1" applyAlignment="1" applyProtection="1">
      <alignment horizontal="center"/>
      <protection locked="0"/>
    </xf>
    <xf numFmtId="49" fontId="5" fillId="0" borderId="14" xfId="0" applyNumberFormat="1" applyFont="1" applyFill="1" applyBorder="1" applyAlignment="1">
      <alignment horizontal="center"/>
    </xf>
    <xf numFmtId="1" fontId="10" fillId="0" borderId="0" xfId="0" applyNumberFormat="1" applyFont="1" applyBorder="1" applyAlignment="1">
      <alignment horizontal="center"/>
    </xf>
    <xf numFmtId="165" fontId="10" fillId="0" borderId="2" xfId="0" applyNumberFormat="1" applyFont="1" applyBorder="1" applyAlignment="1">
      <alignment horizontal="center"/>
    </xf>
    <xf numFmtId="0" fontId="10" fillId="0" borderId="0" xfId="0" applyFont="1" applyBorder="1" applyAlignment="1">
      <alignment horizontal="left"/>
    </xf>
    <xf numFmtId="0" fontId="10" fillId="0" borderId="0" xfId="0" applyFont="1" applyBorder="1"/>
    <xf numFmtId="0" fontId="2" fillId="0" borderId="0" xfId="0" applyFont="1" applyFill="1" applyAlignment="1"/>
    <xf numFmtId="0" fontId="2" fillId="0" borderId="0" xfId="0" applyFont="1" applyFill="1" applyBorder="1" applyAlignment="1">
      <alignment horizontal="left"/>
    </xf>
    <xf numFmtId="0" fontId="2" fillId="0" borderId="0" xfId="0" applyFont="1" applyFill="1" applyBorder="1" applyAlignment="1"/>
    <xf numFmtId="2" fontId="2" fillId="0" borderId="1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xf numFmtId="49" fontId="0" fillId="0" borderId="0" xfId="0" applyNumberFormat="1" applyFill="1"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alignment horizontal="center"/>
    </xf>
    <xf numFmtId="1" fontId="4" fillId="0" borderId="0" xfId="0" applyNumberFormat="1" applyFont="1" applyAlignment="1">
      <alignment horizontal="center"/>
    </xf>
    <xf numFmtId="1" fontId="5" fillId="0" borderId="13" xfId="0" applyNumberFormat="1" applyFont="1" applyFill="1" applyBorder="1" applyAlignment="1">
      <alignment horizontal="center"/>
    </xf>
    <xf numFmtId="16" fontId="5" fillId="0" borderId="0" xfId="0" applyNumberFormat="1" applyFont="1" applyFill="1" applyBorder="1" applyAlignment="1">
      <alignment horizontal="left"/>
    </xf>
    <xf numFmtId="49" fontId="5" fillId="0" borderId="9" xfId="0" applyNumberFormat="1" applyFont="1" applyFill="1" applyBorder="1" applyAlignment="1">
      <alignment horizontal="center"/>
    </xf>
    <xf numFmtId="49" fontId="5" fillId="0" borderId="8" xfId="0" applyNumberFormat="1" applyFont="1" applyFill="1" applyBorder="1" applyAlignment="1">
      <alignment horizontal="center"/>
    </xf>
    <xf numFmtId="1" fontId="4" fillId="0" borderId="2"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5" fillId="0" borderId="5" xfId="0" applyFont="1" applyFill="1" applyBorder="1" applyAlignment="1">
      <alignment horizontal="left"/>
    </xf>
    <xf numFmtId="0" fontId="5" fillId="0" borderId="0" xfId="0" applyFont="1" applyFill="1" applyBorder="1"/>
    <xf numFmtId="1" fontId="4" fillId="0" borderId="3" xfId="0" applyNumberFormat="1" applyFont="1" applyFill="1" applyBorder="1" applyAlignment="1">
      <alignment horizontal="center"/>
    </xf>
    <xf numFmtId="1" fontId="10" fillId="0" borderId="0" xfId="0" applyNumberFormat="1" applyFont="1" applyFill="1" applyBorder="1" applyAlignment="1">
      <alignment horizontal="center"/>
    </xf>
    <xf numFmtId="2" fontId="5" fillId="0" borderId="2" xfId="0" applyNumberFormat="1" applyFont="1" applyFill="1" applyBorder="1" applyAlignment="1">
      <alignment horizontal="center"/>
    </xf>
    <xf numFmtId="0" fontId="4" fillId="0" borderId="2" xfId="0" applyFont="1" applyFill="1" applyBorder="1" applyAlignment="1">
      <alignment horizontal="center"/>
    </xf>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1" fontId="5" fillId="0" borderId="14"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7"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Font="1" applyFill="1" applyBorder="1" applyAlignment="1">
      <alignment horizontal="center"/>
    </xf>
    <xf numFmtId="1" fontId="8" fillId="0" borderId="0" xfId="0" applyNumberFormat="1" applyFont="1" applyFill="1" applyBorder="1" applyAlignment="1">
      <alignment horizontal="center"/>
    </xf>
    <xf numFmtId="1" fontId="8" fillId="0" borderId="1" xfId="0" applyNumberFormat="1" applyFont="1" applyFill="1" applyBorder="1" applyAlignment="1">
      <alignment horizontal="center"/>
    </xf>
    <xf numFmtId="1" fontId="4" fillId="0" borderId="4" xfId="0" applyNumberFormat="1" applyFont="1" applyFill="1" applyBorder="1" applyAlignment="1">
      <alignment horizontal="center"/>
    </xf>
    <xf numFmtId="2" fontId="5" fillId="0" borderId="14" xfId="0" applyNumberFormat="1" applyFont="1" applyFill="1" applyBorder="1" applyAlignment="1">
      <alignment horizontal="center"/>
    </xf>
    <xf numFmtId="1" fontId="4" fillId="0" borderId="0" xfId="0" applyNumberFormat="1" applyFont="1" applyFill="1" applyBorder="1" applyAlignment="1">
      <alignment horizontal="center"/>
    </xf>
    <xf numFmtId="1" fontId="11" fillId="0" borderId="3" xfId="0" applyNumberFormat="1" applyFont="1" applyFill="1" applyBorder="1" applyAlignment="1">
      <alignment horizontal="center"/>
    </xf>
    <xf numFmtId="0" fontId="3" fillId="0" borderId="0" xfId="0" applyFont="1" applyAlignment="1">
      <alignment horizontal="left" vertical="top" wrapText="1"/>
    </xf>
    <xf numFmtId="0" fontId="0" fillId="0" borderId="1" xfId="0" applyBorder="1"/>
    <xf numFmtId="49" fontId="5" fillId="0" borderId="10" xfId="0" applyNumberFormat="1" applyFont="1" applyBorder="1" applyAlignment="1">
      <alignment horizontal="center"/>
    </xf>
    <xf numFmtId="49" fontId="5" fillId="0" borderId="14" xfId="0" applyNumberFormat="1" applyFont="1" applyBorder="1" applyAlignment="1">
      <alignment horizontal="center"/>
    </xf>
    <xf numFmtId="1" fontId="5" fillId="0" borderId="4" xfId="0" applyNumberFormat="1" applyFont="1" applyBorder="1" applyAlignment="1">
      <alignment horizontal="left"/>
    </xf>
    <xf numFmtId="1" fontId="5" fillId="0" borderId="5" xfId="0" applyNumberFormat="1" applyFont="1" applyBorder="1" applyAlignment="1">
      <alignment horizontal="left"/>
    </xf>
    <xf numFmtId="49" fontId="5" fillId="0" borderId="7" xfId="0" applyNumberFormat="1" applyFont="1" applyBorder="1" applyAlignment="1">
      <alignment horizontal="center"/>
    </xf>
  </cellXfs>
  <cellStyles count="2">
    <cellStyle name="Normal" xfId="0" builtinId="0"/>
    <cellStyle name="Normal 2" xfId="1"/>
  </cellStyles>
  <dxfs count="396">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2" defaultPivotStyle="PivotStyleLight16"/>
  <colors>
    <mruColors>
      <color rgb="FFC2E7FE"/>
      <color rgb="FFDDF7DD"/>
      <color rgb="FFDAF0FE"/>
      <color rgb="FF0121BF"/>
      <color rgb="FFFFF8E1"/>
      <color rgb="FFFFF0C1"/>
      <color rgb="FF33CC33"/>
      <color rgb="FFF76F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2"/>
  <sheetViews>
    <sheetView tabSelected="1" zoomScaleNormal="100" workbookViewId="0"/>
  </sheetViews>
  <sheetFormatPr defaultRowHeight="12" customHeight="1"/>
  <cols>
    <col min="1" max="1" width="11.28515625" style="9" customWidth="1"/>
    <col min="2" max="2" width="80" style="2" customWidth="1"/>
    <col min="3" max="5" width="5.5703125" style="147" customWidth="1"/>
    <col min="6" max="6" width="10" style="2" customWidth="1"/>
    <col min="7" max="7" width="4" style="2" customWidth="1"/>
    <col min="8" max="16384" width="9.140625" style="2"/>
  </cols>
  <sheetData>
    <row r="1" spans="1:6" ht="12.6" customHeight="1">
      <c r="A1" s="1" t="s">
        <v>155</v>
      </c>
      <c r="B1" s="1"/>
    </row>
    <row r="2" spans="1:6" ht="12.6" customHeight="1">
      <c r="A2" s="2" t="s">
        <v>882</v>
      </c>
    </row>
    <row r="3" spans="1:6" ht="12.6" customHeight="1">
      <c r="A3" s="2" t="s">
        <v>1087</v>
      </c>
      <c r="B3" s="2" t="s">
        <v>1086</v>
      </c>
      <c r="C3" s="209"/>
      <c r="D3" s="209"/>
      <c r="E3" s="209"/>
    </row>
    <row r="4" spans="1:6" ht="12.6" customHeight="1">
      <c r="A4" s="1"/>
      <c r="B4" s="1"/>
      <c r="C4" s="209"/>
      <c r="D4" s="209"/>
      <c r="E4" s="209"/>
    </row>
    <row r="5" spans="1:6" ht="96.75" customHeight="1">
      <c r="A5" s="303" t="s">
        <v>877</v>
      </c>
      <c r="B5" s="303"/>
      <c r="C5" s="209"/>
      <c r="D5" s="209"/>
      <c r="E5" s="209"/>
    </row>
    <row r="6" spans="1:6" ht="12.6" customHeight="1">
      <c r="A6" s="2" t="s">
        <v>822</v>
      </c>
    </row>
    <row r="7" spans="1:6" ht="12.6" customHeight="1">
      <c r="A7" s="1"/>
    </row>
    <row r="8" spans="1:6" ht="12.6" customHeight="1">
      <c r="A8" s="1" t="s">
        <v>0</v>
      </c>
      <c r="B8" s="1"/>
      <c r="C8" s="209"/>
      <c r="D8" s="209"/>
      <c r="E8" s="209"/>
      <c r="F8" s="1"/>
    </row>
    <row r="9" spans="1:6" ht="12.6" customHeight="1">
      <c r="A9" s="1"/>
      <c r="B9" s="1"/>
      <c r="C9" s="209"/>
      <c r="D9" s="209"/>
      <c r="E9" s="209"/>
      <c r="F9" s="1"/>
    </row>
    <row r="10" spans="1:6" ht="12.6" customHeight="1">
      <c r="A10" s="3" t="s">
        <v>1</v>
      </c>
      <c r="B10" s="2" t="s">
        <v>2</v>
      </c>
    </row>
    <row r="11" spans="1:6" ht="12.6" customHeight="1">
      <c r="A11" s="3" t="s">
        <v>3</v>
      </c>
      <c r="B11" s="2" t="s">
        <v>345</v>
      </c>
    </row>
    <row r="12" spans="1:6" ht="12.6" customHeight="1">
      <c r="A12" s="3" t="s">
        <v>4</v>
      </c>
      <c r="B12" s="2" t="s">
        <v>344</v>
      </c>
    </row>
    <row r="13" spans="1:6" ht="12.6" customHeight="1">
      <c r="A13" s="3" t="s">
        <v>334</v>
      </c>
      <c r="B13" s="2" t="s">
        <v>473</v>
      </c>
    </row>
    <row r="14" spans="1:6" ht="12.6" customHeight="1">
      <c r="A14" s="3" t="s">
        <v>335</v>
      </c>
      <c r="B14" s="2" t="s">
        <v>733</v>
      </c>
    </row>
    <row r="15" spans="1:6" ht="12.6" customHeight="1">
      <c r="A15" s="3" t="s">
        <v>336</v>
      </c>
      <c r="B15" s="2" t="s">
        <v>474</v>
      </c>
    </row>
    <row r="16" spans="1:6" ht="12.6" customHeight="1">
      <c r="A16" s="3" t="s">
        <v>215</v>
      </c>
      <c r="B16" s="2" t="s">
        <v>337</v>
      </c>
    </row>
    <row r="17" spans="1:7" ht="12.6" customHeight="1">
      <c r="A17" s="3" t="s">
        <v>524</v>
      </c>
      <c r="B17" s="2" t="s">
        <v>528</v>
      </c>
    </row>
    <row r="18" spans="1:7" ht="12.6" customHeight="1">
      <c r="A18" s="3" t="s">
        <v>1088</v>
      </c>
      <c r="B18" s="2" t="s">
        <v>1090</v>
      </c>
    </row>
    <row r="19" spans="1:7" ht="12.6" customHeight="1">
      <c r="A19" s="3" t="s">
        <v>1089</v>
      </c>
      <c r="B19" s="2" t="s">
        <v>1091</v>
      </c>
    </row>
    <row r="20" spans="1:7" ht="12.6" customHeight="1">
      <c r="A20" s="3" t="s">
        <v>493</v>
      </c>
      <c r="B20" s="2" t="s">
        <v>1004</v>
      </c>
    </row>
    <row r="21" spans="1:7" ht="12.6" customHeight="1">
      <c r="A21" s="2"/>
    </row>
    <row r="22" spans="1:7" ht="12.6" customHeight="1">
      <c r="A22" s="4" t="s">
        <v>5</v>
      </c>
      <c r="B22" s="5"/>
      <c r="C22" s="146"/>
      <c r="D22" s="146"/>
      <c r="E22" s="146"/>
      <c r="F22" s="5"/>
      <c r="G22" s="5"/>
    </row>
    <row r="23" spans="1:7" ht="12.6" customHeight="1">
      <c r="A23" s="4"/>
      <c r="B23" s="5"/>
      <c r="C23" s="146"/>
      <c r="D23" s="146"/>
      <c r="E23" s="146"/>
      <c r="F23" s="5"/>
      <c r="G23" s="5"/>
    </row>
    <row r="24" spans="1:7" ht="12.6" customHeight="1">
      <c r="A24" s="6" t="s">
        <v>6</v>
      </c>
      <c r="B24" s="5" t="s">
        <v>230</v>
      </c>
      <c r="C24" s="146"/>
      <c r="D24" s="146"/>
      <c r="E24" s="146"/>
      <c r="F24" s="5"/>
      <c r="G24" s="5"/>
    </row>
    <row r="25" spans="1:7" ht="12.6" customHeight="1">
      <c r="A25" s="6" t="s">
        <v>11</v>
      </c>
      <c r="B25" s="5" t="s">
        <v>12</v>
      </c>
      <c r="C25" s="146"/>
      <c r="D25" s="146"/>
      <c r="E25" s="146"/>
      <c r="F25" s="5"/>
      <c r="G25" s="5"/>
    </row>
    <row r="26" spans="1:7" ht="12.6" customHeight="1">
      <c r="A26" s="6" t="s">
        <v>760</v>
      </c>
      <c r="B26" s="5" t="s">
        <v>879</v>
      </c>
      <c r="C26" s="146"/>
      <c r="D26" s="146"/>
      <c r="E26" s="146"/>
      <c r="F26" s="5"/>
      <c r="G26" s="5"/>
    </row>
    <row r="27" spans="1:7" ht="12.6" customHeight="1">
      <c r="A27" s="4" t="s">
        <v>13</v>
      </c>
      <c r="B27" s="5" t="s">
        <v>229</v>
      </c>
      <c r="C27" s="146"/>
      <c r="D27" s="146"/>
      <c r="E27" s="146"/>
      <c r="F27" s="5"/>
      <c r="G27" s="5"/>
    </row>
    <row r="28" spans="1:7" ht="12.6" customHeight="1">
      <c r="A28" s="7" t="s">
        <v>14</v>
      </c>
      <c r="B28" s="5" t="s">
        <v>231</v>
      </c>
      <c r="C28" s="146"/>
      <c r="D28" s="146"/>
      <c r="E28" s="146"/>
      <c r="F28" s="5"/>
      <c r="G28" s="5"/>
    </row>
    <row r="29" spans="1:7" ht="12.6" customHeight="1">
      <c r="A29" s="8" t="s">
        <v>7</v>
      </c>
      <c r="B29" s="5" t="s">
        <v>232</v>
      </c>
      <c r="C29" s="146"/>
      <c r="D29" s="146"/>
      <c r="E29" s="146"/>
      <c r="F29" s="5"/>
      <c r="G29" s="5"/>
    </row>
    <row r="30" spans="1:7" ht="12.6" customHeight="1">
      <c r="A30" s="6" t="s">
        <v>325</v>
      </c>
      <c r="B30" s="5" t="s">
        <v>234</v>
      </c>
      <c r="C30" s="146"/>
      <c r="D30" s="146"/>
      <c r="E30" s="146"/>
      <c r="F30" s="5"/>
      <c r="G30" s="5"/>
    </row>
    <row r="31" spans="1:7" ht="12.6" customHeight="1">
      <c r="A31" s="6" t="s">
        <v>326</v>
      </c>
      <c r="B31" s="5" t="s">
        <v>233</v>
      </c>
      <c r="C31" s="146"/>
      <c r="D31" s="146"/>
      <c r="E31" s="146"/>
      <c r="F31" s="5"/>
      <c r="G31" s="5"/>
    </row>
    <row r="32" spans="1:7" ht="12.6" customHeight="1">
      <c r="A32" s="6" t="s">
        <v>327</v>
      </c>
      <c r="B32" s="5" t="s">
        <v>148</v>
      </c>
      <c r="C32" s="146"/>
      <c r="D32" s="146"/>
      <c r="E32" s="146"/>
      <c r="F32" s="5"/>
      <c r="G32" s="5"/>
    </row>
    <row r="33" spans="1:7" ht="12.6" customHeight="1">
      <c r="A33" s="6" t="s">
        <v>507</v>
      </c>
      <c r="B33" s="5" t="s">
        <v>8</v>
      </c>
      <c r="C33" s="146"/>
      <c r="D33" s="146"/>
      <c r="E33" s="146"/>
      <c r="F33" s="5"/>
      <c r="G33" s="5"/>
    </row>
    <row r="34" spans="1:7" ht="12.6" customHeight="1">
      <c r="A34" s="6" t="s">
        <v>9</v>
      </c>
      <c r="B34" s="5" t="s">
        <v>10</v>
      </c>
      <c r="C34" s="146"/>
      <c r="D34" s="146"/>
      <c r="E34" s="146"/>
      <c r="F34" s="5"/>
      <c r="G34" s="5"/>
    </row>
    <row r="35" spans="1:7" ht="12.6" customHeight="1">
      <c r="A35" s="6"/>
      <c r="B35" s="5"/>
      <c r="C35" s="146"/>
      <c r="D35" s="146"/>
      <c r="E35" s="146"/>
      <c r="F35" s="5"/>
      <c r="G35" s="5"/>
    </row>
    <row r="36" spans="1:7" ht="12.6" customHeight="1">
      <c r="A36" s="9" t="s">
        <v>214</v>
      </c>
      <c r="B36" s="5"/>
      <c r="C36" s="146"/>
      <c r="D36" s="146"/>
      <c r="E36" s="146"/>
      <c r="F36" s="5"/>
      <c r="G36" s="5"/>
    </row>
    <row r="37" spans="1:7" ht="12.6" customHeight="1">
      <c r="A37" s="9" t="s">
        <v>494</v>
      </c>
      <c r="B37" s="5"/>
      <c r="C37" s="146"/>
      <c r="D37" s="146"/>
      <c r="E37" s="146"/>
      <c r="F37" s="5"/>
      <c r="G37" s="5"/>
    </row>
    <row r="38" spans="1:7" ht="12.6" customHeight="1">
      <c r="B38" s="5"/>
      <c r="C38" s="146"/>
      <c r="D38" s="146"/>
      <c r="E38" s="146"/>
      <c r="F38" s="5"/>
      <c r="G38" s="5"/>
    </row>
    <row r="39" spans="1:7" ht="12" customHeight="1">
      <c r="A39" s="4" t="s">
        <v>406</v>
      </c>
      <c r="B39" s="5"/>
      <c r="C39" s="146"/>
      <c r="D39" s="146"/>
      <c r="E39" s="146"/>
      <c r="F39" s="5"/>
      <c r="G39" s="5"/>
    </row>
    <row r="40" spans="1:7" ht="12" customHeight="1">
      <c r="A40" s="4"/>
      <c r="B40" s="5"/>
      <c r="C40" s="146"/>
      <c r="D40" s="146"/>
      <c r="E40" s="146"/>
      <c r="F40" s="5"/>
      <c r="G40" s="5"/>
    </row>
    <row r="41" spans="1:7" ht="12.6" customHeight="1">
      <c r="A41" s="9" t="s">
        <v>15</v>
      </c>
      <c r="B41" s="5"/>
      <c r="C41" s="146"/>
      <c r="D41" s="146"/>
      <c r="E41" s="146"/>
      <c r="F41" s="5"/>
      <c r="G41" s="5"/>
    </row>
    <row r="42" spans="1:7" ht="12.6" customHeight="1">
      <c r="A42" s="9" t="s">
        <v>189</v>
      </c>
      <c r="B42" s="5"/>
      <c r="C42" s="146"/>
      <c r="D42" s="146"/>
      <c r="E42" s="146"/>
      <c r="F42" s="5"/>
      <c r="G42" s="5"/>
    </row>
    <row r="43" spans="1:7" ht="12.6" customHeight="1">
      <c r="A43" s="9" t="s">
        <v>183</v>
      </c>
      <c r="B43" s="5"/>
      <c r="C43" s="146"/>
      <c r="D43" s="146"/>
      <c r="E43" s="146"/>
      <c r="F43" s="5"/>
      <c r="G43" s="5"/>
    </row>
    <row r="44" spans="1:7" ht="12.6" customHeight="1">
      <c r="A44" s="9" t="s">
        <v>184</v>
      </c>
      <c r="B44" s="5"/>
      <c r="C44" s="146"/>
      <c r="D44" s="146"/>
      <c r="E44" s="146"/>
      <c r="F44" s="5"/>
      <c r="G44" s="5"/>
    </row>
    <row r="45" spans="1:7" ht="12.6" customHeight="1">
      <c r="A45" s="9" t="s">
        <v>185</v>
      </c>
      <c r="B45" s="5"/>
      <c r="C45" s="146"/>
      <c r="D45" s="146"/>
      <c r="E45" s="146"/>
      <c r="F45" s="5"/>
      <c r="G45" s="5"/>
    </row>
    <row r="46" spans="1:7" ht="12.6" customHeight="1">
      <c r="A46" s="9" t="s">
        <v>526</v>
      </c>
      <c r="B46" s="5"/>
      <c r="C46" s="146"/>
      <c r="D46" s="146"/>
      <c r="E46" s="146"/>
      <c r="F46" s="5"/>
      <c r="G46" s="5"/>
    </row>
    <row r="47" spans="1:7" ht="12.6" customHeight="1">
      <c r="A47" s="9" t="s">
        <v>527</v>
      </c>
      <c r="B47" s="5"/>
      <c r="C47" s="146"/>
      <c r="D47" s="146"/>
      <c r="E47" s="146"/>
      <c r="F47" s="5"/>
      <c r="G47" s="5"/>
    </row>
    <row r="48" spans="1:7" ht="12" customHeight="1">
      <c r="A48" s="9" t="s">
        <v>187</v>
      </c>
      <c r="B48" s="5"/>
      <c r="C48" s="146"/>
      <c r="D48" s="146"/>
      <c r="E48" s="146"/>
      <c r="F48" s="5"/>
      <c r="G48" s="5"/>
    </row>
    <row r="49" spans="1:7" ht="12" customHeight="1">
      <c r="A49" s="9" t="s">
        <v>188</v>
      </c>
      <c r="B49" s="5"/>
      <c r="C49" s="146"/>
      <c r="D49" s="146"/>
      <c r="E49" s="146"/>
      <c r="F49" s="5"/>
      <c r="G49" s="5"/>
    </row>
    <row r="50" spans="1:7" ht="12" customHeight="1">
      <c r="A50" s="9" t="s">
        <v>880</v>
      </c>
      <c r="B50" s="5"/>
      <c r="C50" s="146"/>
      <c r="D50" s="146"/>
      <c r="E50" s="146"/>
      <c r="F50" s="5"/>
      <c r="G50" s="5"/>
    </row>
    <row r="51" spans="1:7" ht="12" customHeight="1">
      <c r="A51" s="9" t="s">
        <v>192</v>
      </c>
      <c r="B51" s="5"/>
      <c r="C51" s="146"/>
      <c r="D51" s="146"/>
      <c r="E51" s="146"/>
      <c r="F51" s="5"/>
      <c r="G51" s="5"/>
    </row>
    <row r="52" spans="1:7" ht="12.6" customHeight="1">
      <c r="A52" s="9" t="s">
        <v>186</v>
      </c>
      <c r="B52" s="5"/>
      <c r="C52" s="146"/>
      <c r="D52" s="146"/>
      <c r="E52" s="146"/>
      <c r="F52" s="5"/>
      <c r="G52" s="5"/>
    </row>
    <row r="53" spans="1:7" ht="12.6" customHeight="1">
      <c r="A53" s="9" t="s">
        <v>190</v>
      </c>
      <c r="B53" s="5"/>
      <c r="C53" s="146"/>
      <c r="D53" s="146"/>
      <c r="E53" s="146"/>
      <c r="F53" s="5"/>
      <c r="G53" s="5"/>
    </row>
    <row r="54" spans="1:7" ht="12.6" customHeight="1">
      <c r="A54" s="9" t="s">
        <v>191</v>
      </c>
      <c r="B54" s="5"/>
      <c r="C54" s="146"/>
      <c r="D54" s="146"/>
      <c r="E54" s="146"/>
      <c r="F54" s="5"/>
      <c r="G54" s="5"/>
    </row>
    <row r="55" spans="1:7" ht="12" customHeight="1">
      <c r="A55" s="9" t="s">
        <v>407</v>
      </c>
      <c r="B55" s="5"/>
      <c r="C55" s="146"/>
      <c r="D55" s="146"/>
      <c r="E55" s="146"/>
      <c r="F55" s="5"/>
      <c r="G55" s="5"/>
    </row>
    <row r="56" spans="1:7" ht="12" customHeight="1">
      <c r="A56" s="9" t="s">
        <v>515</v>
      </c>
      <c r="B56" s="5"/>
      <c r="C56" s="146"/>
      <c r="D56" s="146"/>
      <c r="E56" s="146"/>
      <c r="F56" s="5"/>
      <c r="G56" s="5"/>
    </row>
    <row r="57" spans="1:7" ht="12" customHeight="1">
      <c r="A57" s="9" t="s">
        <v>712</v>
      </c>
      <c r="B57" s="5"/>
      <c r="C57" s="146"/>
      <c r="D57" s="146"/>
      <c r="E57" s="146"/>
      <c r="F57" s="5"/>
      <c r="G57" s="5"/>
    </row>
    <row r="58" spans="1:7" ht="12" customHeight="1">
      <c r="A58" s="9" t="s">
        <v>864</v>
      </c>
      <c r="B58" s="5"/>
      <c r="C58" s="146"/>
      <c r="D58" s="146"/>
      <c r="E58" s="146"/>
      <c r="F58" s="5"/>
      <c r="G58" s="5"/>
    </row>
    <row r="59" spans="1:7" ht="12" customHeight="1">
      <c r="A59" s="267"/>
      <c r="B59" s="268"/>
      <c r="C59" s="146"/>
      <c r="D59" s="146"/>
      <c r="E59" s="146"/>
      <c r="F59" s="5"/>
      <c r="G59" s="5"/>
    </row>
    <row r="60" spans="1:7" ht="12" customHeight="1">
      <c r="A60" s="269">
        <v>0.76</v>
      </c>
      <c r="B60" s="266" t="s">
        <v>878</v>
      </c>
      <c r="C60" s="146"/>
    </row>
    <row r="61" spans="1:7" ht="12" customHeight="1">
      <c r="A61" s="267"/>
      <c r="B61" s="268"/>
      <c r="C61" s="146"/>
      <c r="D61" s="146"/>
      <c r="E61" s="146"/>
      <c r="F61" s="5"/>
      <c r="G61" s="5"/>
    </row>
    <row r="62" spans="1:7" ht="12" customHeight="1">
      <c r="A62" s="270" t="s">
        <v>314</v>
      </c>
      <c r="B62" s="271" t="s">
        <v>472</v>
      </c>
      <c r="C62" s="145"/>
      <c r="D62" s="145"/>
      <c r="E62" s="145"/>
      <c r="F62" s="5"/>
      <c r="G62" s="5"/>
    </row>
    <row r="63" spans="1:7" ht="12" customHeight="1">
      <c r="A63" s="272" t="s">
        <v>366</v>
      </c>
      <c r="B63" s="273" t="s">
        <v>319</v>
      </c>
      <c r="C63" s="145"/>
      <c r="D63" s="145"/>
      <c r="E63" s="145"/>
      <c r="F63" s="5"/>
      <c r="G63" s="5"/>
    </row>
    <row r="64" spans="1:7" ht="12" customHeight="1">
      <c r="A64" s="274" t="s">
        <v>367</v>
      </c>
      <c r="B64" s="273" t="s">
        <v>365</v>
      </c>
      <c r="C64" s="145"/>
      <c r="D64" s="145"/>
      <c r="E64" s="145"/>
      <c r="F64" s="5"/>
      <c r="G64" s="5"/>
    </row>
    <row r="65" spans="1:7" ht="12" customHeight="1">
      <c r="A65" s="274" t="s">
        <v>368</v>
      </c>
      <c r="B65" s="273" t="s">
        <v>320</v>
      </c>
      <c r="C65" s="145"/>
      <c r="D65" s="145"/>
      <c r="E65" s="145"/>
      <c r="F65" s="5"/>
      <c r="G65" s="5"/>
    </row>
    <row r="66" spans="1:7" ht="12" customHeight="1">
      <c r="A66" s="274" t="s">
        <v>315</v>
      </c>
      <c r="B66" s="273" t="s">
        <v>321</v>
      </c>
      <c r="C66" s="145"/>
      <c r="D66" s="145"/>
      <c r="E66" s="145"/>
      <c r="F66" s="5"/>
      <c r="G66" s="5"/>
    </row>
    <row r="67" spans="1:7" ht="12" customHeight="1">
      <c r="A67" s="274" t="s">
        <v>316</v>
      </c>
      <c r="B67" s="273" t="s">
        <v>322</v>
      </c>
      <c r="C67" s="145"/>
      <c r="D67" s="145"/>
      <c r="E67" s="145"/>
      <c r="F67" s="5"/>
      <c r="G67" s="5"/>
    </row>
    <row r="68" spans="1:7" ht="12" customHeight="1">
      <c r="A68" s="274" t="s">
        <v>317</v>
      </c>
      <c r="B68" s="273" t="s">
        <v>323</v>
      </c>
      <c r="C68" s="145"/>
      <c r="D68" s="145"/>
      <c r="E68" s="145"/>
      <c r="F68" s="5"/>
      <c r="G68" s="5"/>
    </row>
    <row r="69" spans="1:7" ht="12" customHeight="1">
      <c r="A69" s="274" t="s">
        <v>318</v>
      </c>
      <c r="B69" s="273" t="s">
        <v>324</v>
      </c>
      <c r="C69" s="145"/>
      <c r="D69" s="145"/>
      <c r="E69" s="145"/>
      <c r="F69" s="5"/>
      <c r="G69" s="5"/>
    </row>
    <row r="70" spans="1:7" ht="12" customHeight="1">
      <c r="A70" s="274" t="s">
        <v>362</v>
      </c>
      <c r="B70" s="273" t="s">
        <v>396</v>
      </c>
      <c r="C70" s="145"/>
      <c r="D70" s="145"/>
      <c r="E70" s="145"/>
      <c r="F70" s="5"/>
      <c r="G70" s="5"/>
    </row>
    <row r="71" spans="1:7" ht="12" customHeight="1">
      <c r="A71" s="275" t="s">
        <v>363</v>
      </c>
      <c r="B71" s="268" t="s">
        <v>364</v>
      </c>
      <c r="C71" s="146"/>
      <c r="D71" s="146"/>
      <c r="E71" s="146"/>
      <c r="F71" s="5"/>
      <c r="G71" s="5"/>
    </row>
    <row r="72" spans="1:7" ht="15" customHeight="1">
      <c r="A72" s="123"/>
      <c r="B72" s="118"/>
    </row>
  </sheetData>
  <sheetProtection password="990B" sheet="1" objects="1" scenarios="1"/>
  <mergeCells count="1">
    <mergeCell ref="A5:B5"/>
  </mergeCells>
  <phoneticPr fontId="0" type="noConversion"/>
  <pageMargins left="0.3" right="0" top="0.5" bottom="0" header="0.59055118110236204" footer="0.511811023622047"/>
  <pageSetup orientation="landscape" r:id="rId1"/>
  <headerFooter alignWithMargins="0">
    <oddHeader>&amp;R&amp;9(&amp;P of &amp;N)</oddHeader>
  </headerFooter>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workbookViewId="0"/>
  </sheetViews>
  <sheetFormatPr defaultRowHeight="12.75"/>
  <cols>
    <col min="1" max="1" width="7.85546875" customWidth="1"/>
    <col min="2" max="2" width="23.85546875" customWidth="1"/>
    <col min="3" max="3" width="9.85546875" customWidth="1"/>
    <col min="4" max="5" width="6.28515625" customWidth="1"/>
    <col min="6" max="6" width="4.85546875" customWidth="1"/>
    <col min="7" max="17" width="5.28515625" customWidth="1"/>
    <col min="18" max="18" width="6.42578125" customWidth="1"/>
    <col min="19" max="20" width="5.28515625" customWidth="1"/>
    <col min="21" max="21" width="6.42578125" customWidth="1"/>
    <col min="22" max="22" width="2.5703125" customWidth="1"/>
    <col min="23" max="23" width="2.28515625" customWidth="1"/>
  </cols>
  <sheetData>
    <row r="1" spans="1:23" s="37" customFormat="1" ht="12.6" customHeight="1">
      <c r="A1" s="20" t="str">
        <f>i!A1</f>
        <v>Lens$db: Lens Price database</v>
      </c>
      <c r="B1" s="45"/>
      <c r="C1" s="46"/>
      <c r="D1" s="20"/>
      <c r="E1" s="46"/>
      <c r="F1" s="46"/>
      <c r="G1" s="30"/>
      <c r="H1" s="30"/>
      <c r="I1" s="16" t="s">
        <v>16</v>
      </c>
      <c r="J1" s="30"/>
      <c r="K1" s="16" t="s">
        <v>16</v>
      </c>
      <c r="L1" s="16"/>
      <c r="M1" s="18"/>
      <c r="N1" s="16"/>
      <c r="O1" s="18"/>
      <c r="P1" s="16" t="s">
        <v>16</v>
      </c>
      <c r="Q1" s="18"/>
      <c r="R1" s="47" t="str">
        <f>i!B3</f>
        <v>.2016-06-01</v>
      </c>
      <c r="S1" s="47"/>
      <c r="T1" s="18"/>
      <c r="U1" s="16" t="s">
        <v>16</v>
      </c>
      <c r="W1" s="18"/>
    </row>
    <row r="2" spans="1:23" s="37" customFormat="1" ht="12.6" customHeight="1">
      <c r="A2" s="143" t="str">
        <f>i!A3</f>
        <v>v.31</v>
      </c>
      <c r="B2" s="45"/>
      <c r="C2" s="46"/>
      <c r="D2" s="20"/>
      <c r="E2" s="46"/>
      <c r="F2" s="46"/>
      <c r="G2" s="30"/>
      <c r="H2" s="30"/>
      <c r="I2" s="16"/>
      <c r="J2" s="30"/>
      <c r="K2" s="16"/>
      <c r="L2" s="16"/>
      <c r="M2" s="18"/>
      <c r="N2" s="16"/>
      <c r="O2" s="18"/>
      <c r="P2" s="16"/>
      <c r="Q2" s="18"/>
      <c r="R2" s="47"/>
      <c r="S2" s="47"/>
      <c r="T2" s="18"/>
      <c r="U2" s="16"/>
      <c r="W2" s="18"/>
    </row>
    <row r="3" spans="1:23" s="37" customFormat="1" ht="12.6" customHeight="1">
      <c r="A3" s="30"/>
      <c r="B3" s="45"/>
      <c r="C3" s="49"/>
      <c r="D3" s="21"/>
      <c r="E3" s="49"/>
      <c r="F3" s="49"/>
      <c r="G3" s="50"/>
      <c r="H3" s="50"/>
      <c r="I3" s="50"/>
      <c r="J3" s="50"/>
      <c r="K3" s="128"/>
      <c r="L3" s="51"/>
      <c r="M3" s="28"/>
      <c r="N3" s="127"/>
      <c r="O3" s="28"/>
      <c r="P3" s="134"/>
      <c r="Q3" s="90"/>
      <c r="R3" s="90"/>
      <c r="S3" s="28"/>
      <c r="T3" s="28"/>
      <c r="U3" s="29"/>
      <c r="W3" s="18"/>
    </row>
    <row r="4" spans="1:23" s="37" customFormat="1" ht="12.6" customHeight="1">
      <c r="A4" s="30" t="s">
        <v>1007</v>
      </c>
      <c r="B4" s="63"/>
      <c r="C4" s="305" t="s">
        <v>6</v>
      </c>
      <c r="D4" s="306" t="s">
        <v>11</v>
      </c>
      <c r="E4" s="309" t="s">
        <v>760</v>
      </c>
      <c r="F4" s="66" t="s">
        <v>13</v>
      </c>
      <c r="G4" s="58" t="s">
        <v>277</v>
      </c>
      <c r="H4" s="53" t="s">
        <v>7</v>
      </c>
      <c r="I4" s="16" t="s">
        <v>325</v>
      </c>
      <c r="J4" s="16" t="s">
        <v>326</v>
      </c>
      <c r="K4" s="31" t="s">
        <v>327</v>
      </c>
      <c r="L4" s="32" t="s">
        <v>506</v>
      </c>
      <c r="M4" s="33"/>
      <c r="N4" s="34" t="s">
        <v>19</v>
      </c>
      <c r="O4" s="27"/>
      <c r="P4" s="54"/>
      <c r="Q4" s="28" t="s">
        <v>507</v>
      </c>
      <c r="R4" s="29"/>
      <c r="S4" s="127"/>
      <c r="T4" s="33" t="s">
        <v>9</v>
      </c>
      <c r="U4" s="33"/>
      <c r="W4" s="18"/>
    </row>
    <row r="5" spans="1:23" s="19" customFormat="1" ht="12.6" customHeight="1">
      <c r="A5" s="144" t="s">
        <v>16</v>
      </c>
      <c r="B5" s="22" t="s">
        <v>16</v>
      </c>
      <c r="C5" s="26" t="s">
        <v>20</v>
      </c>
      <c r="D5" s="41" t="s">
        <v>16</v>
      </c>
      <c r="E5" s="33" t="s">
        <v>20</v>
      </c>
      <c r="F5" s="27" t="s">
        <v>16</v>
      </c>
      <c r="G5" s="55" t="s">
        <v>37</v>
      </c>
      <c r="H5" s="56" t="s">
        <v>21</v>
      </c>
      <c r="I5" s="27" t="s">
        <v>20</v>
      </c>
      <c r="J5" s="27" t="s">
        <v>20</v>
      </c>
      <c r="K5" s="41" t="s">
        <v>20</v>
      </c>
      <c r="L5" s="26" t="s">
        <v>22</v>
      </c>
      <c r="M5" s="24" t="s">
        <v>23</v>
      </c>
      <c r="N5" s="26" t="s">
        <v>22</v>
      </c>
      <c r="O5" s="124" t="s">
        <v>23</v>
      </c>
      <c r="P5" s="26" t="s">
        <v>22</v>
      </c>
      <c r="Q5" s="24" t="s">
        <v>23</v>
      </c>
      <c r="R5" s="33" t="s">
        <v>24</v>
      </c>
      <c r="S5" s="26" t="s">
        <v>22</v>
      </c>
      <c r="T5" s="24" t="s">
        <v>23</v>
      </c>
      <c r="U5" s="33" t="s">
        <v>24</v>
      </c>
      <c r="W5" s="17"/>
    </row>
    <row r="6" spans="1:23" s="19" customFormat="1" ht="12.6" customHeight="1">
      <c r="A6" s="143" t="str">
        <f>EFz!A27</f>
        <v>Canon</v>
      </c>
      <c r="B6" s="143" t="str">
        <f>EFz!B27</f>
        <v>EF 8-15mm f/4L Fisheye USM</v>
      </c>
      <c r="C6" s="16" t="str">
        <f>EFz!C27</f>
        <v>8-15</v>
      </c>
      <c r="D6" s="18">
        <f>EFz!D27</f>
        <v>4</v>
      </c>
      <c r="E6" s="16" t="str">
        <f>EFz!E27</f>
        <v>13-24</v>
      </c>
      <c r="F6" s="85" t="str">
        <f>EFz!F27</f>
        <v>EF</v>
      </c>
      <c r="G6" s="58">
        <f>EFz!G27</f>
        <v>0.15</v>
      </c>
      <c r="H6" s="53">
        <f>EFz!H27</f>
        <v>0.54</v>
      </c>
      <c r="I6" s="16">
        <f>EFz!I27</f>
        <v>83</v>
      </c>
      <c r="J6" s="16">
        <f>EFz!J27</f>
        <v>79</v>
      </c>
      <c r="K6" s="31" t="str">
        <f>EFz!K27</f>
        <v>x</v>
      </c>
      <c r="L6" s="16">
        <f>EFz!L27</f>
        <v>815.77777777777783</v>
      </c>
      <c r="M6" s="31" t="str">
        <f>EFz!M27</f>
        <v>.16-05</v>
      </c>
      <c r="N6" s="16">
        <f>EFz!N27</f>
        <v>944.22222222222217</v>
      </c>
      <c r="O6" s="16" t="str">
        <f>EFz!O27</f>
        <v>.16-05</v>
      </c>
      <c r="P6" s="25">
        <f>EFz!P27</f>
        <v>810</v>
      </c>
      <c r="Q6" s="16" t="str">
        <f>EFz!Q27</f>
        <v>.16-01</v>
      </c>
      <c r="R6" s="31" t="str">
        <f>EFz!R27</f>
        <v>LA</v>
      </c>
      <c r="S6" s="25">
        <f>EFz!S27</f>
        <v>950</v>
      </c>
      <c r="T6" s="16" t="str">
        <f>EFz!T27</f>
        <v>.16-05</v>
      </c>
      <c r="U6" s="31" t="str">
        <f>EFz!U27</f>
        <v>d'town</v>
      </c>
      <c r="V6"/>
      <c r="W6"/>
    </row>
    <row r="7" spans="1:23">
      <c r="A7" s="144" t="str">
        <f>EFz!A6</f>
        <v xml:space="preserve">Canon </v>
      </c>
      <c r="B7" s="144" t="str">
        <f>EFz!B6</f>
        <v>EF 11-24/4 L USM</v>
      </c>
      <c r="C7" s="27" t="str">
        <f>EFz!C6</f>
        <v>11-24</v>
      </c>
      <c r="D7" s="41">
        <f>EFz!D6</f>
        <v>4</v>
      </c>
      <c r="E7" s="27" t="str">
        <f>EFz!E6</f>
        <v>17-38</v>
      </c>
      <c r="F7" s="86" t="str">
        <f>EFz!F6</f>
        <v>EF</v>
      </c>
      <c r="G7" s="55">
        <f>EFz!G6</f>
        <v>0.28000000000000003</v>
      </c>
      <c r="H7" s="56">
        <f>EFz!H6</f>
        <v>1.18</v>
      </c>
      <c r="I7" s="27">
        <f>EFz!I6</f>
        <v>132</v>
      </c>
      <c r="J7" s="27">
        <f>EFz!J6</f>
        <v>109.2</v>
      </c>
      <c r="K7" s="33" t="str">
        <f>EFz!K6</f>
        <v>x</v>
      </c>
      <c r="L7" s="27">
        <f>EFz!L6</f>
        <v>2498.8888888888887</v>
      </c>
      <c r="M7" s="33" t="str">
        <f>EFz!M6</f>
        <v>.16-04</v>
      </c>
      <c r="N7" s="27">
        <f>EFz!N6</f>
        <v>3033</v>
      </c>
      <c r="O7" s="27" t="str">
        <f>EFz!O6</f>
        <v>.15-04</v>
      </c>
      <c r="P7" s="26" t="str">
        <f>EFz!P6</f>
        <v xml:space="preserve"> </v>
      </c>
      <c r="Q7" s="27" t="str">
        <f>EFz!Q6</f>
        <v xml:space="preserve"> </v>
      </c>
      <c r="R7" s="33" t="str">
        <f>EFz!R6</f>
        <v xml:space="preserve"> </v>
      </c>
      <c r="S7" s="26">
        <f>EFz!S6</f>
        <v>3000</v>
      </c>
      <c r="T7" s="27" t="str">
        <f>EFz!T6</f>
        <v>.15-11</v>
      </c>
      <c r="U7" s="33" t="str">
        <f>EFz!U6</f>
        <v>keh</v>
      </c>
    </row>
    <row r="8" spans="1:23">
      <c r="A8" s="143" t="str">
        <f>STT!A28</f>
        <v>Sigma</v>
      </c>
      <c r="B8" s="143" t="str">
        <f>STT!B28</f>
        <v>EX 12-24/4.5-5.6 ASP DG rl</v>
      </c>
      <c r="C8" s="16" t="str">
        <f>STT!C28</f>
        <v>12-24</v>
      </c>
      <c r="D8" s="18" t="str">
        <f>STT!D28</f>
        <v>4.5-5.6</v>
      </c>
      <c r="E8" s="16" t="str">
        <f>STT!E28</f>
        <v>19-38</v>
      </c>
      <c r="F8" s="85" t="str">
        <f>STT!F28</f>
        <v>EF</v>
      </c>
      <c r="G8" s="58">
        <f>STT!G28</f>
        <v>0.28000000000000003</v>
      </c>
      <c r="H8" s="53">
        <f>STT!H28</f>
        <v>0.61499999999999999</v>
      </c>
      <c r="I8" s="16">
        <f>STT!I28</f>
        <v>100</v>
      </c>
      <c r="J8" s="16">
        <f>STT!J28</f>
        <v>87</v>
      </c>
      <c r="K8" s="31" t="str">
        <f>STT!K28</f>
        <v>rg</v>
      </c>
      <c r="L8" s="16">
        <f>STT!L28</f>
        <v>376.66666666666669</v>
      </c>
      <c r="M8" s="31" t="str">
        <f>STT!M28</f>
        <v>.16-03</v>
      </c>
      <c r="N8" s="16">
        <f>STT!N28</f>
        <v>556.6</v>
      </c>
      <c r="O8" s="16" t="str">
        <f>STT!O28</f>
        <v>.14-07</v>
      </c>
      <c r="P8" s="25">
        <f>STT!P28</f>
        <v>490</v>
      </c>
      <c r="Q8" s="16" t="str">
        <f>STT!Q28</f>
        <v>.15-11</v>
      </c>
      <c r="R8" s="31" t="str">
        <f>STT!R28</f>
        <v>ado</v>
      </c>
      <c r="S8" s="25">
        <f>STT!S28</f>
        <v>710</v>
      </c>
      <c r="T8" s="16" t="str">
        <f>STT!T28</f>
        <v>.16-01</v>
      </c>
      <c r="U8" s="31" t="str">
        <f>STT!U28</f>
        <v>LA</v>
      </c>
    </row>
    <row r="9" spans="1:23">
      <c r="A9" s="143" t="str">
        <f>LNOP!A67</f>
        <v>Nikon</v>
      </c>
      <c r="B9" s="143" t="str">
        <f>LNOP!B67</f>
        <v>Nikkor 14-24/2.8 G ED AF-S</v>
      </c>
      <c r="C9" s="16" t="str">
        <f>LNOP!C67</f>
        <v>14-24</v>
      </c>
      <c r="D9" s="18">
        <f>LNOP!D67</f>
        <v>2.8</v>
      </c>
      <c r="E9" s="16" t="str">
        <f>LNOP!E67</f>
        <v>22-38</v>
      </c>
      <c r="F9" s="85" t="str">
        <f>LNOP!F67</f>
        <v>AF-S</v>
      </c>
      <c r="G9" s="58">
        <f>LNOP!G67</f>
        <v>0.28000000000000003</v>
      </c>
      <c r="H9" s="53">
        <f>LNOP!H67</f>
        <v>1</v>
      </c>
      <c r="I9" s="16">
        <f>LNOP!I67</f>
        <v>131</v>
      </c>
      <c r="J9" s="16">
        <f>LNOP!J67</f>
        <v>98</v>
      </c>
      <c r="K9" s="31" t="str">
        <f>LNOP!K67</f>
        <v>x</v>
      </c>
      <c r="L9" s="16">
        <f>LNOP!L67</f>
        <v>1112.625</v>
      </c>
      <c r="M9" s="31" t="str">
        <f>LNOP!M67</f>
        <v>.16-05</v>
      </c>
      <c r="N9" s="16">
        <f>LNOP!N67</f>
        <v>1383.2222222222222</v>
      </c>
      <c r="O9" s="16" t="str">
        <f>LNOP!O67</f>
        <v>.16-05</v>
      </c>
      <c r="P9" s="25">
        <f>LNOP!P67</f>
        <v>1672</v>
      </c>
      <c r="Q9" s="16" t="str">
        <f>LNOP!Q67</f>
        <v>.14-08</v>
      </c>
      <c r="R9" s="31" t="str">
        <f>LNOP!R67</f>
        <v>keh</v>
      </c>
      <c r="S9" s="25">
        <f>LNOP!S67</f>
        <v>1740</v>
      </c>
      <c r="T9" s="16" t="str">
        <f>LNOP!T67</f>
        <v>.13-07</v>
      </c>
      <c r="U9" s="31" t="str">
        <f>LNOP!U67</f>
        <v>keh</v>
      </c>
    </row>
    <row r="10" spans="1:23">
      <c r="A10" s="144" t="str">
        <f>STT!A65</f>
        <v>Tamron</v>
      </c>
      <c r="B10" s="144" t="str">
        <f>STT!B65</f>
        <v>SP 15-30/2.8 Di VC USD</v>
      </c>
      <c r="C10" s="27" t="str">
        <f>STT!C65</f>
        <v>15-30</v>
      </c>
      <c r="D10" s="41">
        <f>STT!D65</f>
        <v>2.8</v>
      </c>
      <c r="E10" s="27" t="str">
        <f>STT!E65</f>
        <v>24-48</v>
      </c>
      <c r="F10" s="86" t="str">
        <f>STT!F65</f>
        <v>EF</v>
      </c>
      <c r="G10" s="55">
        <f>STT!G65</f>
        <v>0.28000000000000003</v>
      </c>
      <c r="H10" s="56">
        <f>STT!H65</f>
        <v>1.1000000000000001</v>
      </c>
      <c r="I10" s="27">
        <f>STT!I65</f>
        <v>145</v>
      </c>
      <c r="J10" s="27">
        <f>STT!J65</f>
        <v>98.4</v>
      </c>
      <c r="K10" s="33" t="str">
        <f>STT!K65</f>
        <v>x</v>
      </c>
      <c r="L10" s="27">
        <f>STT!L65</f>
        <v>789.5</v>
      </c>
      <c r="M10" s="33" t="str">
        <f>STT!M65</f>
        <v>.16-05</v>
      </c>
      <c r="N10" s="27">
        <f>STT!N65</f>
        <v>826.5</v>
      </c>
      <c r="O10" s="27" t="str">
        <f>STT!O65</f>
        <v>.16-03</v>
      </c>
      <c r="P10" s="26" t="str">
        <f>STT!P65</f>
        <v xml:space="preserve"> </v>
      </c>
      <c r="Q10" s="27" t="str">
        <f>STT!Q65</f>
        <v xml:space="preserve"> </v>
      </c>
      <c r="R10" s="33" t="str">
        <f>STT!R65</f>
        <v xml:space="preserve"> </v>
      </c>
      <c r="S10" s="26">
        <f>STT!S65</f>
        <v>1200</v>
      </c>
      <c r="T10" s="27" t="str">
        <f>STT!T65</f>
        <v>.15-11</v>
      </c>
      <c r="U10" s="33" t="str">
        <f>STT!U65</f>
        <v>b&amp;h</v>
      </c>
    </row>
    <row r="11" spans="1:23">
      <c r="A11" s="143" t="str">
        <f>STT!A97</f>
        <v>Tokina</v>
      </c>
      <c r="B11" s="143" t="str">
        <f>STT!B97</f>
        <v>AT-X Pro 16-28/2.8 FX</v>
      </c>
      <c r="C11" s="16" t="str">
        <f>STT!C97</f>
        <v>16-28</v>
      </c>
      <c r="D11" s="18">
        <f>STT!D97</f>
        <v>2.8</v>
      </c>
      <c r="E11" s="16" t="str">
        <f>STT!E97</f>
        <v>26-45</v>
      </c>
      <c r="F11" s="85" t="str">
        <f>STT!F97</f>
        <v>EF</v>
      </c>
      <c r="G11" s="58">
        <f>STT!G97</f>
        <v>0.28000000000000003</v>
      </c>
      <c r="H11" s="53">
        <f>STT!H97</f>
        <v>0.95</v>
      </c>
      <c r="I11" s="16">
        <f>STT!I97</f>
        <v>133.30000000000001</v>
      </c>
      <c r="J11" s="16">
        <f>STT!J97</f>
        <v>90</v>
      </c>
      <c r="K11" s="31" t="str">
        <f>STT!K97</f>
        <v>x</v>
      </c>
      <c r="L11" s="16">
        <f>STT!L97</f>
        <v>460.55555555555554</v>
      </c>
      <c r="M11" s="31" t="str">
        <f>STT!M97</f>
        <v>.16-03</v>
      </c>
      <c r="N11" s="16">
        <f>STT!N97</f>
        <v>708</v>
      </c>
      <c r="O11" s="16" t="str">
        <f>STT!O97</f>
        <v>.14-11</v>
      </c>
      <c r="P11" s="25" t="str">
        <f>STT!P97</f>
        <v>400</v>
      </c>
      <c r="Q11" s="16" t="str">
        <f>STT!Q97</f>
        <v>.16-01</v>
      </c>
      <c r="R11" s="31" t="str">
        <f>STT!R97</f>
        <v>keh</v>
      </c>
      <c r="S11" s="25" t="str">
        <f>STT!S97</f>
        <v>695</v>
      </c>
      <c r="T11" s="16" t="str">
        <f>STT!T97</f>
        <v>.12-05</v>
      </c>
      <c r="U11" s="31" t="str">
        <f>STT!U97</f>
        <v>keh</v>
      </c>
    </row>
    <row r="12" spans="1:23">
      <c r="A12" s="143" t="str">
        <f>EFz!A7</f>
        <v>Canon</v>
      </c>
      <c r="B12" s="143" t="str">
        <f>EFz!B7</f>
        <v xml:space="preserve">EF 16-35/2.8 L USM </v>
      </c>
      <c r="C12" s="16" t="str">
        <f>EFz!C7</f>
        <v>16-35</v>
      </c>
      <c r="D12" s="18">
        <f>EFz!D7</f>
        <v>2.8</v>
      </c>
      <c r="E12" s="16" t="str">
        <f>EFz!E7</f>
        <v>26-56</v>
      </c>
      <c r="F12" s="85" t="str">
        <f>EFz!F7</f>
        <v>EF</v>
      </c>
      <c r="G12" s="58">
        <f>EFz!G7</f>
        <v>0.28000000000000003</v>
      </c>
      <c r="H12" s="53">
        <f>EFz!H7</f>
        <v>0.6</v>
      </c>
      <c r="I12" s="16">
        <f>EFz!I7</f>
        <v>103</v>
      </c>
      <c r="J12" s="16">
        <f>EFz!J7</f>
        <v>83.5</v>
      </c>
      <c r="K12" s="31">
        <f>EFz!K7</f>
        <v>77</v>
      </c>
      <c r="L12" s="16">
        <f>EFz!L7</f>
        <v>692.72727272727275</v>
      </c>
      <c r="M12" s="31" t="str">
        <f>EFz!M7</f>
        <v>.16-05</v>
      </c>
      <c r="N12" s="16">
        <f>EFz!N7</f>
        <v>946.3</v>
      </c>
      <c r="O12" s="16" t="str">
        <f>EFz!O7</f>
        <v>.16-05</v>
      </c>
      <c r="P12" s="25">
        <f>EFz!P7</f>
        <v>880</v>
      </c>
      <c r="Q12" s="16" t="str">
        <f>EFz!Q7</f>
        <v>.16-01</v>
      </c>
      <c r="R12" s="31" t="str">
        <f>EFz!R7</f>
        <v>keh</v>
      </c>
      <c r="S12" s="25">
        <f>EFz!S7</f>
        <v>1170</v>
      </c>
      <c r="T12" s="16" t="str">
        <f>EFz!T7</f>
        <v>.15-04</v>
      </c>
      <c r="U12" s="31" t="str">
        <f>EFz!U7</f>
        <v>keh</v>
      </c>
      <c r="V12" s="19"/>
      <c r="W12" s="19"/>
    </row>
    <row r="13" spans="1:23">
      <c r="A13" s="143" t="str">
        <f>EFz!A8</f>
        <v>Canon</v>
      </c>
      <c r="B13" s="143" t="str">
        <f>EFz!B8</f>
        <v xml:space="preserve">EF 16-35/2.8 L II USM </v>
      </c>
      <c r="C13" s="16" t="str">
        <f>EFz!C8</f>
        <v>16-35</v>
      </c>
      <c r="D13" s="18">
        <f>EFz!D8</f>
        <v>2.8</v>
      </c>
      <c r="E13" s="16" t="str">
        <f>EFz!E8</f>
        <v>26-56</v>
      </c>
      <c r="F13" s="85" t="str">
        <f>EFz!F8</f>
        <v>EF</v>
      </c>
      <c r="G13" s="58">
        <f>EFz!G8</f>
        <v>0.28000000000000003</v>
      </c>
      <c r="H13" s="53">
        <f>EFz!H8</f>
        <v>0.63500000000000001</v>
      </c>
      <c r="I13" s="16">
        <f>EFz!I8</f>
        <v>111.6</v>
      </c>
      <c r="J13" s="16">
        <f>EFz!J8</f>
        <v>88</v>
      </c>
      <c r="K13" s="31">
        <f>EFz!K8</f>
        <v>82</v>
      </c>
      <c r="L13" s="16">
        <f>EFz!L8</f>
        <v>914.75</v>
      </c>
      <c r="M13" s="31" t="str">
        <f>EFz!M8</f>
        <v>.16-05</v>
      </c>
      <c r="N13" s="16">
        <f>EFz!N8</f>
        <v>1137.0769230769231</v>
      </c>
      <c r="O13" s="16" t="str">
        <f>EFz!O8</f>
        <v>.16-05</v>
      </c>
      <c r="P13" s="25">
        <f>EFz!P8</f>
        <v>1175</v>
      </c>
      <c r="Q13" s="16" t="str">
        <f>EFz!Q8</f>
        <v>.16-01</v>
      </c>
      <c r="R13" s="31" t="str">
        <f>EFz!R8</f>
        <v>ado</v>
      </c>
      <c r="S13" s="25">
        <f>EFz!S8</f>
        <v>1060.2</v>
      </c>
      <c r="T13" s="16" t="str">
        <f>EFz!T8</f>
        <v>.16-05</v>
      </c>
      <c r="U13" s="31" t="str">
        <f>EFz!U8</f>
        <v>d'town</v>
      </c>
    </row>
    <row r="14" spans="1:23">
      <c r="A14" s="143" t="str">
        <f>EFz!A9</f>
        <v>Canon</v>
      </c>
      <c r="B14" s="143" t="str">
        <f>EFz!B9</f>
        <v xml:space="preserve">EF 16-35/4 L IS USM </v>
      </c>
      <c r="C14" s="16" t="str">
        <f>EFz!C9</f>
        <v>16-35</v>
      </c>
      <c r="D14" s="18">
        <f>EFz!D9</f>
        <v>4</v>
      </c>
      <c r="E14" s="16" t="str">
        <f>EFz!E9</f>
        <v>26-56</v>
      </c>
      <c r="F14" s="85" t="str">
        <f>EFz!F9</f>
        <v>EF</v>
      </c>
      <c r="G14" s="58">
        <f>EFz!G9</f>
        <v>0.28000000000000003</v>
      </c>
      <c r="H14" s="53">
        <f>EFz!H9</f>
        <v>0.61499999999999999</v>
      </c>
      <c r="I14" s="16">
        <f>EFz!I9</f>
        <v>112.8</v>
      </c>
      <c r="J14" s="16">
        <f>EFz!J9</f>
        <v>82.6</v>
      </c>
      <c r="K14" s="31">
        <f>EFz!K9</f>
        <v>77</v>
      </c>
      <c r="L14" s="16">
        <f>EFz!L9</f>
        <v>811.09090909090912</v>
      </c>
      <c r="M14" s="31" t="str">
        <f>EFz!M9</f>
        <v>.16-05</v>
      </c>
      <c r="N14" s="16">
        <f>EFz!N9</f>
        <v>1028</v>
      </c>
      <c r="O14" s="16" t="str">
        <f>EFz!O9</f>
        <v>.16-03</v>
      </c>
      <c r="P14" s="25" t="str">
        <f>EFz!P9</f>
        <v xml:space="preserve"> </v>
      </c>
      <c r="Q14" s="16" t="str">
        <f>EFz!Q9</f>
        <v xml:space="preserve"> </v>
      </c>
      <c r="R14" s="31" t="str">
        <f>EFz!R9</f>
        <v xml:space="preserve"> </v>
      </c>
      <c r="S14" s="25">
        <f>EFz!S9</f>
        <v>1050</v>
      </c>
      <c r="T14" s="16" t="str">
        <f>EFz!T9</f>
        <v>.16-01</v>
      </c>
      <c r="U14" s="31" t="str">
        <f>EFz!U9</f>
        <v>keh</v>
      </c>
    </row>
    <row r="15" spans="1:23">
      <c r="A15" s="143" t="str">
        <f>EFz!A10</f>
        <v>Canon</v>
      </c>
      <c r="B15" s="143" t="str">
        <f>EFz!B10</f>
        <v xml:space="preserve">EF 17-35/2.8 L USM </v>
      </c>
      <c r="C15" s="16" t="str">
        <f>EFz!C10</f>
        <v>17-35</v>
      </c>
      <c r="D15" s="18">
        <f>EFz!D10</f>
        <v>2.8</v>
      </c>
      <c r="E15" s="16" t="str">
        <f>EFz!E10</f>
        <v>27-56</v>
      </c>
      <c r="F15" s="85" t="str">
        <f>EFz!F10</f>
        <v>EF</v>
      </c>
      <c r="G15" s="58">
        <f>EFz!G10</f>
        <v>0.42</v>
      </c>
      <c r="H15" s="53">
        <f>EFz!H10</f>
        <v>0.54500000000000004</v>
      </c>
      <c r="I15" s="16">
        <f>EFz!I10</f>
        <v>95.7</v>
      </c>
      <c r="J15" s="16">
        <f>EFz!J10</f>
        <v>83.5</v>
      </c>
      <c r="K15" s="31">
        <f>EFz!K10</f>
        <v>77</v>
      </c>
      <c r="L15" s="16">
        <f>EFz!L10</f>
        <v>468.4</v>
      </c>
      <c r="M15" s="31" t="str">
        <f>EFz!M10</f>
        <v>.16-05</v>
      </c>
      <c r="N15" s="16">
        <f>EFz!N10</f>
        <v>578.27272727272725</v>
      </c>
      <c r="O15" s="16" t="str">
        <f>EFz!O10</f>
        <v>.16-05</v>
      </c>
      <c r="P15" s="25">
        <f>EFz!P10</f>
        <v>730</v>
      </c>
      <c r="Q15" s="16" t="str">
        <f>EFz!Q10</f>
        <v>.15-04</v>
      </c>
      <c r="R15" s="31" t="str">
        <f>EFz!R10</f>
        <v>keh</v>
      </c>
      <c r="S15" s="25">
        <f>EFz!S10</f>
        <v>595</v>
      </c>
      <c r="T15" s="16" t="str">
        <f>EFz!T10</f>
        <v>.16-01</v>
      </c>
      <c r="U15" s="31" t="str">
        <f>EFz!U10</f>
        <v>camW</v>
      </c>
    </row>
    <row r="16" spans="1:23">
      <c r="A16" s="143" t="str">
        <f>CZ.V!A79</f>
        <v>Carl Zeiss</v>
      </c>
      <c r="B16" s="143" t="str">
        <f>CZ.V!B79</f>
        <v>vSonnar T* 17-35/2.8 N</v>
      </c>
      <c r="C16" s="16" t="str">
        <f>CZ.V!C79</f>
        <v>17-35</v>
      </c>
      <c r="D16" s="18">
        <f>CZ.V!D79</f>
        <v>2.8</v>
      </c>
      <c r="E16" s="16" t="str">
        <f>CZ.V!E79</f>
        <v>27-56</v>
      </c>
      <c r="F16" s="85" t="str">
        <f>CZ.V!F79</f>
        <v>N</v>
      </c>
      <c r="G16" s="58">
        <f>CZ.V!G79</f>
        <v>0.5</v>
      </c>
      <c r="H16" s="53">
        <f>CZ.V!H79</f>
        <v>0.9</v>
      </c>
      <c r="I16" s="16">
        <f>CZ.V!I79</f>
        <v>96</v>
      </c>
      <c r="J16" s="16">
        <f>CZ.V!J79</f>
        <v>102</v>
      </c>
      <c r="K16" s="31">
        <f>CZ.V!K79</f>
        <v>95</v>
      </c>
      <c r="L16" s="16">
        <f>CZ.V!L79</f>
        <v>1096</v>
      </c>
      <c r="M16" s="31" t="str">
        <f>CZ.V!M79</f>
        <v>.16-03</v>
      </c>
      <c r="N16" s="16">
        <f>CZ.V!N79</f>
        <v>1443</v>
      </c>
      <c r="O16" s="16" t="str">
        <f>CZ.V!O79</f>
        <v>.16-03</v>
      </c>
      <c r="P16" s="25">
        <f>CZ.V!P79</f>
        <v>1295</v>
      </c>
      <c r="Q16" s="16" t="str">
        <f>CZ.V!Q79</f>
        <v>.15-11</v>
      </c>
      <c r="R16" s="31" t="str">
        <f>CZ.V!R79</f>
        <v>keh</v>
      </c>
      <c r="S16" s="25" t="str">
        <f>CZ.V!S79</f>
        <v xml:space="preserve"> </v>
      </c>
      <c r="T16" s="16" t="str">
        <f>CZ.V!T79</f>
        <v xml:space="preserve"> </v>
      </c>
      <c r="U16" s="31" t="str">
        <f>CZ.V!U79</f>
        <v xml:space="preserve"> </v>
      </c>
    </row>
    <row r="17" spans="1:21">
      <c r="A17" s="143" t="str">
        <f>STT!A98</f>
        <v>Tokina</v>
      </c>
      <c r="B17" s="143" t="str">
        <f>STT!B98</f>
        <v>AT-X Pro 17-35/4 FX</v>
      </c>
      <c r="C17" s="16" t="str">
        <f>STT!C98</f>
        <v>17-35</v>
      </c>
      <c r="D17" s="18">
        <f>STT!D98</f>
        <v>4</v>
      </c>
      <c r="E17" s="16" t="str">
        <f>STT!E98</f>
        <v>27-56</v>
      </c>
      <c r="F17" s="85" t="str">
        <f>STT!F98</f>
        <v>EF</v>
      </c>
      <c r="G17" s="58">
        <f>STT!G98</f>
        <v>0.27900000000000003</v>
      </c>
      <c r="H17" s="53">
        <f>STT!H98</f>
        <v>0.6</v>
      </c>
      <c r="I17" s="16">
        <f>STT!I98</f>
        <v>94</v>
      </c>
      <c r="J17" s="16">
        <f>STT!J98</f>
        <v>88.9</v>
      </c>
      <c r="K17" s="31">
        <f>STT!K98</f>
        <v>82</v>
      </c>
      <c r="L17" s="16">
        <f>STT!L98</f>
        <v>269.8</v>
      </c>
      <c r="M17" s="31" t="str">
        <f>STT!M98</f>
        <v>.15-01</v>
      </c>
      <c r="N17" s="16">
        <f>STT!N98</f>
        <v>356</v>
      </c>
      <c r="O17" s="16" t="str">
        <f>STT!O98</f>
        <v>.15-10</v>
      </c>
      <c r="P17" s="25" t="str">
        <f>STT!P98</f>
        <v xml:space="preserve"> </v>
      </c>
      <c r="Q17" s="16" t="str">
        <f>STT!Q98</f>
        <v xml:space="preserve"> </v>
      </c>
      <c r="R17" s="31" t="str">
        <f>STT!R98</f>
        <v xml:space="preserve"> </v>
      </c>
      <c r="S17" s="25" t="str">
        <f>STT!S98</f>
        <v xml:space="preserve"> </v>
      </c>
      <c r="T17" s="16" t="str">
        <f>STT!T98</f>
        <v xml:space="preserve"> </v>
      </c>
      <c r="U17" s="31" t="str">
        <f>STT!U98</f>
        <v xml:space="preserve"> </v>
      </c>
    </row>
    <row r="18" spans="1:21">
      <c r="A18" s="144" t="str">
        <f>EFz!A11</f>
        <v>Canon</v>
      </c>
      <c r="B18" s="144" t="str">
        <f>EFz!B11</f>
        <v xml:space="preserve">EF 17-40/4 L USM </v>
      </c>
      <c r="C18" s="27" t="str">
        <f>EFz!C11</f>
        <v>17-40</v>
      </c>
      <c r="D18" s="41">
        <f>EFz!D11</f>
        <v>4</v>
      </c>
      <c r="E18" s="27" t="str">
        <f>EFz!E11</f>
        <v>27-64</v>
      </c>
      <c r="F18" s="86" t="str">
        <f>EFz!F11</f>
        <v>EF</v>
      </c>
      <c r="G18" s="55">
        <f>EFz!G11</f>
        <v>0.28000000000000003</v>
      </c>
      <c r="H18" s="56">
        <f>EFz!H11</f>
        <v>0.5</v>
      </c>
      <c r="I18" s="27">
        <f>EFz!I11</f>
        <v>96.8</v>
      </c>
      <c r="J18" s="27">
        <f>EFz!J11</f>
        <v>83.5</v>
      </c>
      <c r="K18" s="33">
        <f>EFz!K11</f>
        <v>77</v>
      </c>
      <c r="L18" s="27">
        <f>EFz!L11</f>
        <v>415.3</v>
      </c>
      <c r="M18" s="33" t="str">
        <f>EFz!M11</f>
        <v>.16-05</v>
      </c>
      <c r="N18" s="27">
        <f>EFz!N11</f>
        <v>509.33333333333331</v>
      </c>
      <c r="O18" s="27" t="str">
        <f>EFz!O11</f>
        <v>.16-05</v>
      </c>
      <c r="P18" s="26">
        <f>EFz!P11</f>
        <v>455.24</v>
      </c>
      <c r="Q18" s="27" t="str">
        <f>EFz!Q11</f>
        <v>.16-03</v>
      </c>
      <c r="R18" s="33" t="str">
        <f>EFz!R11</f>
        <v>ctc</v>
      </c>
      <c r="S18" s="26">
        <f>EFz!S11</f>
        <v>600</v>
      </c>
      <c r="T18" s="27" t="str">
        <f>EFz!T11</f>
        <v>.16-01</v>
      </c>
      <c r="U18" s="33" t="str">
        <f>EFz!U11</f>
        <v>keh</v>
      </c>
    </row>
    <row r="19" spans="1:21">
      <c r="A19" s="143" t="str">
        <f>EFz!A12</f>
        <v>Canon</v>
      </c>
      <c r="B19" s="143" t="str">
        <f>EFz!B12</f>
        <v xml:space="preserve">EF 20-35/2.8 L USM </v>
      </c>
      <c r="C19" s="16" t="str">
        <f>EFz!C12</f>
        <v>20-35</v>
      </c>
      <c r="D19" s="18">
        <f>EFz!D12</f>
        <v>2.8</v>
      </c>
      <c r="E19" s="16" t="str">
        <f>EFz!E12</f>
        <v>32-56</v>
      </c>
      <c r="F19" s="85" t="str">
        <f>EFz!F12</f>
        <v>EF</v>
      </c>
      <c r="G19" s="58">
        <f>EFz!G12</f>
        <v>0.5</v>
      </c>
      <c r="H19" s="53">
        <f>EFz!H12</f>
        <v>0.54</v>
      </c>
      <c r="I19" s="16">
        <f>EFz!I12</f>
        <v>79.2</v>
      </c>
      <c r="J19" s="16">
        <f>EFz!J12</f>
        <v>89</v>
      </c>
      <c r="K19" s="31">
        <f>EFz!K12</f>
        <v>72</v>
      </c>
      <c r="L19" s="16">
        <f>EFz!L12</f>
        <v>383.5</v>
      </c>
      <c r="M19" s="31" t="str">
        <f>EFz!M12</f>
        <v>.16-05</v>
      </c>
      <c r="N19" s="16">
        <f>EFz!N12</f>
        <v>445.22222222222223</v>
      </c>
      <c r="O19" s="16" t="str">
        <f>EFz!O12</f>
        <v>.16-05</v>
      </c>
      <c r="P19" s="25">
        <f>EFz!P12</f>
        <v>470</v>
      </c>
      <c r="Q19" s="16" t="str">
        <f>EFz!Q12</f>
        <v>.14-08</v>
      </c>
      <c r="R19" s="31" t="str">
        <f>EFz!R12</f>
        <v>ado</v>
      </c>
      <c r="S19" s="25">
        <f>EFz!S12</f>
        <v>795</v>
      </c>
      <c r="T19" s="16" t="str">
        <f>EFz!T12</f>
        <v>.12-04</v>
      </c>
      <c r="U19" s="31" t="str">
        <f>EFz!U12</f>
        <v>camW</v>
      </c>
    </row>
    <row r="20" spans="1:21">
      <c r="A20" s="143" t="str">
        <f>STT!A99</f>
        <v>Tokina</v>
      </c>
      <c r="B20" s="143" t="str">
        <f>STT!B99</f>
        <v>AT-X Pro 20-35/2.8</v>
      </c>
      <c r="C20" s="16" t="str">
        <f>STT!C99</f>
        <v>20-35</v>
      </c>
      <c r="D20" s="18">
        <f>STT!D99</f>
        <v>2.8</v>
      </c>
      <c r="E20" s="16" t="str">
        <f>STT!E99</f>
        <v>32-56</v>
      </c>
      <c r="F20" s="85" t="str">
        <f>STT!F99</f>
        <v>EF</v>
      </c>
      <c r="G20" s="58">
        <f>STT!G99</f>
        <v>0.52</v>
      </c>
      <c r="H20" s="53">
        <f>STT!H99</f>
        <v>0.59</v>
      </c>
      <c r="I20" s="16">
        <f>STT!I99</f>
        <v>86</v>
      </c>
      <c r="J20" s="16">
        <f>STT!J99</f>
        <v>84</v>
      </c>
      <c r="K20" s="31">
        <f>STT!K99</f>
        <v>77</v>
      </c>
      <c r="L20" s="16">
        <f>STT!L99</f>
        <v>180.33333333333334</v>
      </c>
      <c r="M20" s="31" t="str">
        <f>STT!M99</f>
        <v>.16-01</v>
      </c>
      <c r="N20" s="16">
        <f>STT!N99</f>
        <v>294</v>
      </c>
      <c r="O20" s="16" t="str">
        <f>STT!O99</f>
        <v>.16-05</v>
      </c>
      <c r="P20" s="25">
        <f>STT!P99</f>
        <v>275</v>
      </c>
      <c r="Q20" s="16" t="str">
        <f>STT!Q99</f>
        <v>.13-07</v>
      </c>
      <c r="R20" s="31" t="str">
        <f>STT!R99</f>
        <v>keh</v>
      </c>
      <c r="S20" s="25" t="str">
        <f>STT!S99</f>
        <v xml:space="preserve"> </v>
      </c>
      <c r="T20" s="16" t="str">
        <f>STT!T99</f>
        <v xml:space="preserve"> </v>
      </c>
      <c r="U20" s="31" t="str">
        <f>STT!U99</f>
        <v xml:space="preserve"> </v>
      </c>
    </row>
    <row r="21" spans="1:21">
      <c r="A21" s="144" t="str">
        <f>STT!A66</f>
        <v>Tamron</v>
      </c>
      <c r="B21" s="144" t="str">
        <f>STT!B66</f>
        <v>SP 20-40/2.7-3.5 ASP IF</v>
      </c>
      <c r="C21" s="27" t="str">
        <f>STT!C66</f>
        <v>20-40</v>
      </c>
      <c r="D21" s="41" t="str">
        <f>STT!D66</f>
        <v>2.7-3.5</v>
      </c>
      <c r="E21" s="27" t="str">
        <f>STT!E66</f>
        <v>32-64</v>
      </c>
      <c r="F21" s="86" t="str">
        <f>STT!F66</f>
        <v>EF</v>
      </c>
      <c r="G21" s="55">
        <f>STT!G66</f>
        <v>0.5</v>
      </c>
      <c r="H21" s="56">
        <f>STT!H66</f>
        <v>0.53</v>
      </c>
      <c r="I21" s="27">
        <f>STT!I66</f>
        <v>81</v>
      </c>
      <c r="J21" s="27">
        <f>STT!J66</f>
        <v>82</v>
      </c>
      <c r="K21" s="33">
        <f>STT!K66</f>
        <v>77</v>
      </c>
      <c r="L21" s="27">
        <f>STT!L66</f>
        <v>117.66666666666667</v>
      </c>
      <c r="M21" s="33" t="str">
        <f>STT!M66</f>
        <v>.15-11</v>
      </c>
      <c r="N21" s="27">
        <f>STT!N66</f>
        <v>160</v>
      </c>
      <c r="O21" s="27" t="str">
        <f>STT!O66</f>
        <v>.14-04</v>
      </c>
      <c r="P21" s="26">
        <f>STT!P66</f>
        <v>182</v>
      </c>
      <c r="Q21" s="27" t="str">
        <f>STT!Q66</f>
        <v>.16-01</v>
      </c>
      <c r="R21" s="33" t="str">
        <f>STT!R66</f>
        <v>keh</v>
      </c>
      <c r="S21" s="26" t="str">
        <f>STT!S66</f>
        <v xml:space="preserve"> </v>
      </c>
      <c r="T21" s="27" t="str">
        <f>STT!T66</f>
        <v xml:space="preserve"> </v>
      </c>
      <c r="U21" s="33" t="str">
        <f>STT!U66</f>
        <v xml:space="preserve"> </v>
      </c>
    </row>
    <row r="22" spans="1:21">
      <c r="A22" s="143" t="str">
        <f>STT!A29</f>
        <v>Sigma</v>
      </c>
      <c r="B22" s="143" t="str">
        <f>STT!B29</f>
        <v>24-35/2 DG HSM Art</v>
      </c>
      <c r="C22" s="16" t="str">
        <f>STT!C29</f>
        <v>24-35</v>
      </c>
      <c r="D22" s="18">
        <f>STT!D29</f>
        <v>2</v>
      </c>
      <c r="E22" s="16" t="str">
        <f>STT!E29</f>
        <v>38-56</v>
      </c>
      <c r="F22" s="85" t="str">
        <f>STT!F29</f>
        <v>EF</v>
      </c>
      <c r="G22" s="58">
        <f>STT!G29</f>
        <v>0.27900000000000003</v>
      </c>
      <c r="H22" s="53">
        <f>STT!H29</f>
        <v>0.94</v>
      </c>
      <c r="I22" s="16">
        <f>STT!I29</f>
        <v>122.7</v>
      </c>
      <c r="J22" s="16">
        <f>STT!J29</f>
        <v>87.6</v>
      </c>
      <c r="K22" s="31">
        <f>STT!K29</f>
        <v>82</v>
      </c>
      <c r="L22" s="16">
        <f>STT!L29</f>
        <v>0</v>
      </c>
      <c r="M22" s="31">
        <f>STT!M29</f>
        <v>0</v>
      </c>
      <c r="N22" s="16">
        <f>STT!N29</f>
        <v>850</v>
      </c>
      <c r="O22" s="16" t="str">
        <f>STT!O29</f>
        <v>.15-11</v>
      </c>
      <c r="P22" s="25">
        <f>STT!P29</f>
        <v>0</v>
      </c>
      <c r="Q22" s="16">
        <f>STT!Q29</f>
        <v>0</v>
      </c>
      <c r="R22" s="31">
        <f>STT!R29</f>
        <v>0</v>
      </c>
      <c r="S22" s="25">
        <f>STT!S29</f>
        <v>1000</v>
      </c>
      <c r="T22" s="16" t="str">
        <f>STT!T29</f>
        <v>.15-11</v>
      </c>
      <c r="U22" s="31" t="str">
        <f>STT!U29</f>
        <v>b&amp;h</v>
      </c>
    </row>
    <row r="23" spans="1:21">
      <c r="A23" s="143" t="str">
        <f>STT!A100</f>
        <v>Tokina</v>
      </c>
      <c r="B23" s="143" t="str">
        <f>STT!B100</f>
        <v>AT-X 24-40/2.8</v>
      </c>
      <c r="C23" s="16" t="str">
        <f>STT!C100</f>
        <v>24-40</v>
      </c>
      <c r="D23" s="18">
        <f>STT!D100</f>
        <v>2.8</v>
      </c>
      <c r="E23" s="16" t="str">
        <f>STT!E100</f>
        <v>38-64</v>
      </c>
      <c r="F23" s="85" t="str">
        <f>STT!F100</f>
        <v>x</v>
      </c>
      <c r="G23" s="58">
        <f>STT!G100</f>
        <v>0.4</v>
      </c>
      <c r="H23" s="53">
        <f>STT!H100</f>
        <v>0.505</v>
      </c>
      <c r="I23" s="16">
        <f>STT!I100</f>
        <v>79</v>
      </c>
      <c r="J23" s="16">
        <f>STT!J100</f>
        <v>75</v>
      </c>
      <c r="K23" s="31">
        <f>STT!K100</f>
        <v>72</v>
      </c>
      <c r="L23" s="16">
        <f>STT!L100</f>
        <v>137.75</v>
      </c>
      <c r="M23" s="31" t="str">
        <f>STT!M100</f>
        <v>.16-05</v>
      </c>
      <c r="N23" s="16">
        <f>STT!N100</f>
        <v>173</v>
      </c>
      <c r="O23" s="16" t="str">
        <f>STT!O100</f>
        <v>.16-05</v>
      </c>
      <c r="P23" s="25">
        <f>STT!P100</f>
        <v>140</v>
      </c>
      <c r="Q23" s="16" t="str">
        <f>STT!Q100</f>
        <v>.12-02</v>
      </c>
      <c r="R23" s="31" t="str">
        <f>STT!R100</f>
        <v>b&amp;h</v>
      </c>
      <c r="S23" s="25" t="str">
        <f>STT!S100</f>
        <v xml:space="preserve"> </v>
      </c>
      <c r="T23" s="16" t="str">
        <f>STT!T100</f>
        <v xml:space="preserve"> </v>
      </c>
      <c r="U23" s="31" t="str">
        <f>STT!U100</f>
        <v xml:space="preserve"> </v>
      </c>
    </row>
    <row r="24" spans="1:21">
      <c r="A24" s="143" t="str">
        <f>STT!A67</f>
        <v>Tamron</v>
      </c>
      <c r="B24" s="143" t="str">
        <f>STT!B67</f>
        <v>SP 24-48/3.5-3.8</v>
      </c>
      <c r="C24" s="16" t="str">
        <f>STT!C67</f>
        <v>24-48</v>
      </c>
      <c r="D24" s="18" t="str">
        <f>STT!D67</f>
        <v>3.5-3.8</v>
      </c>
      <c r="E24" s="16" t="str">
        <f>STT!E67</f>
        <v>38-76</v>
      </c>
      <c r="F24" s="85" t="str">
        <f>STT!F67</f>
        <v>A2</v>
      </c>
      <c r="G24" s="58">
        <f>STT!G67</f>
        <v>0.6</v>
      </c>
      <c r="H24" s="53">
        <f>STT!H67</f>
        <v>0.34599999999999997</v>
      </c>
      <c r="I24" s="16">
        <f>STT!I67</f>
        <v>61</v>
      </c>
      <c r="J24" s="16">
        <f>STT!J67</f>
        <v>65.5</v>
      </c>
      <c r="K24" s="31" t="str">
        <f>STT!K67</f>
        <v>77*</v>
      </c>
      <c r="L24" s="16">
        <f>STT!L67</f>
        <v>121.5</v>
      </c>
      <c r="M24" s="31" t="str">
        <f>STT!M67</f>
        <v>.16-05</v>
      </c>
      <c r="N24" s="16">
        <f>STT!N67</f>
        <v>434</v>
      </c>
      <c r="O24" s="16" t="str">
        <f>STT!O67</f>
        <v>.11-04</v>
      </c>
      <c r="P24" s="25" t="str">
        <f>STT!P67</f>
        <v xml:space="preserve"> </v>
      </c>
      <c r="Q24" s="16" t="str">
        <f>STT!Q67</f>
        <v xml:space="preserve"> </v>
      </c>
      <c r="R24" s="31" t="str">
        <f>STT!R67</f>
        <v xml:space="preserve"> </v>
      </c>
      <c r="S24" s="25" t="str">
        <f>STT!S67</f>
        <v xml:space="preserve"> </v>
      </c>
      <c r="T24" s="16" t="str">
        <f>STT!T67</f>
        <v xml:space="preserve"> </v>
      </c>
      <c r="U24" s="31" t="str">
        <f>STT!U67</f>
        <v xml:space="preserve"> </v>
      </c>
    </row>
    <row r="25" spans="1:21">
      <c r="A25" s="143" t="str">
        <f>EFz!A13</f>
        <v>Canon</v>
      </c>
      <c r="B25" s="143" t="str">
        <f>EFz!B13</f>
        <v xml:space="preserve">EF 24-70/2.8 L USM </v>
      </c>
      <c r="C25" s="16" t="str">
        <f>EFz!C13</f>
        <v>24-70</v>
      </c>
      <c r="D25" s="18">
        <f>EFz!D13</f>
        <v>2.8</v>
      </c>
      <c r="E25" s="16" t="str">
        <f>EFz!E13</f>
        <v>38-110</v>
      </c>
      <c r="F25" s="85" t="str">
        <f>EFz!F13</f>
        <v>EF</v>
      </c>
      <c r="G25" s="58">
        <f>EFz!G13</f>
        <v>0.38</v>
      </c>
      <c r="H25" s="53">
        <f>EFz!H13</f>
        <v>0.95</v>
      </c>
      <c r="I25" s="16">
        <f>EFz!I13</f>
        <v>123.5</v>
      </c>
      <c r="J25" s="16">
        <f>EFz!J13</f>
        <v>83.2</v>
      </c>
      <c r="K25" s="31">
        <f>EFz!K13</f>
        <v>77</v>
      </c>
      <c r="L25" s="16">
        <f>EFz!L13</f>
        <v>742.5</v>
      </c>
      <c r="M25" s="31" t="str">
        <f>EFz!M13</f>
        <v>.16-05</v>
      </c>
      <c r="N25" s="16">
        <f>EFz!N13</f>
        <v>967.72727272727275</v>
      </c>
      <c r="O25" s="16" t="str">
        <f>EFz!O13</f>
        <v>.16-05</v>
      </c>
      <c r="P25" s="25">
        <f>EFz!P13</f>
        <v>1120</v>
      </c>
      <c r="Q25" s="16" t="str">
        <f>EFz!Q13</f>
        <v>.16-01</v>
      </c>
      <c r="R25" s="31" t="str">
        <f>EFz!R13</f>
        <v>keh</v>
      </c>
      <c r="S25" s="25">
        <f>EFz!S13</f>
        <v>975</v>
      </c>
      <c r="T25" s="16" t="str">
        <f>EFz!T13</f>
        <v>.16-01</v>
      </c>
      <c r="U25" s="31" t="str">
        <f>EFz!U13</f>
        <v>camW</v>
      </c>
    </row>
    <row r="26" spans="1:21">
      <c r="A26" s="143" t="str">
        <f>EFz!A14</f>
        <v>Canon</v>
      </c>
      <c r="B26" s="143" t="str">
        <f>EFz!B14</f>
        <v xml:space="preserve">EF 24-70/2.8 L II USM </v>
      </c>
      <c r="C26" s="16" t="str">
        <f>EFz!C14</f>
        <v>24-70</v>
      </c>
      <c r="D26" s="18">
        <f>EFz!D14</f>
        <v>2.8</v>
      </c>
      <c r="E26" s="16" t="str">
        <f>EFz!E14</f>
        <v>38-110</v>
      </c>
      <c r="F26" s="85" t="str">
        <f>EFz!F14</f>
        <v>EF</v>
      </c>
      <c r="G26" s="58">
        <f>EFz!G14</f>
        <v>0.38</v>
      </c>
      <c r="H26" s="53">
        <f>EFz!H14</f>
        <v>0.80300000000000005</v>
      </c>
      <c r="I26" s="16">
        <f>EFz!I14</f>
        <v>111.8</v>
      </c>
      <c r="J26" s="16">
        <f>EFz!J14</f>
        <v>88.9</v>
      </c>
      <c r="K26" s="31">
        <f>EFz!K14</f>
        <v>82</v>
      </c>
      <c r="L26" s="16">
        <f>EFz!L14</f>
        <v>1339</v>
      </c>
      <c r="M26" s="31" t="str">
        <f>EFz!M14</f>
        <v>.16-05</v>
      </c>
      <c r="N26" s="16">
        <f>EFz!N14</f>
        <v>1515.9</v>
      </c>
      <c r="O26" s="16" t="str">
        <f>EFz!O14</f>
        <v>.16-05</v>
      </c>
      <c r="P26" s="25">
        <f>EFz!P14</f>
        <v>1410</v>
      </c>
      <c r="Q26" s="16" t="str">
        <f>EFz!Q14</f>
        <v>.16-01</v>
      </c>
      <c r="R26" s="31" t="str">
        <f>EFz!R14</f>
        <v>LA</v>
      </c>
      <c r="S26" s="25">
        <f>EFz!S14</f>
        <v>1520</v>
      </c>
      <c r="T26" s="16" t="str">
        <f>EFz!T14</f>
        <v>.16-01</v>
      </c>
      <c r="U26" s="31" t="str">
        <f>EFz!U14</f>
        <v>LA</v>
      </c>
    </row>
    <row r="27" spans="1:21">
      <c r="A27" s="143" t="str">
        <f>STT!A30</f>
        <v>Sigma</v>
      </c>
      <c r="B27" s="143" t="str">
        <f>STT!B30</f>
        <v>EX 24-70/2.8 ASP DF DG</v>
      </c>
      <c r="C27" s="16" t="str">
        <f>STT!C30</f>
        <v>24-70</v>
      </c>
      <c r="D27" s="18">
        <f>STT!D30</f>
        <v>2.8</v>
      </c>
      <c r="E27" s="16" t="str">
        <f>STT!E30</f>
        <v>38-112</v>
      </c>
      <c r="F27" s="85" t="str">
        <f>STT!F30</f>
        <v>EF</v>
      </c>
      <c r="G27" s="58">
        <f>STT!G30</f>
        <v>0.39600000000000002</v>
      </c>
      <c r="H27" s="53">
        <f>STT!H30</f>
        <v>0.7</v>
      </c>
      <c r="I27" s="16">
        <f>STT!I30</f>
        <v>114.3</v>
      </c>
      <c r="J27" s="16">
        <f>STT!J30</f>
        <v>88.9</v>
      </c>
      <c r="K27" s="31">
        <f>STT!K30</f>
        <v>82</v>
      </c>
      <c r="L27" s="16">
        <f>STT!L30</f>
        <v>371</v>
      </c>
      <c r="M27" s="31" t="str">
        <f>STT!M30</f>
        <v>.15-11</v>
      </c>
      <c r="N27" s="16">
        <f>STT!N30</f>
        <v>516.5</v>
      </c>
      <c r="O27" s="16" t="str">
        <f>STT!O30</f>
        <v>.16-01</v>
      </c>
      <c r="P27" s="25">
        <f>STT!P30</f>
        <v>450</v>
      </c>
      <c r="Q27" s="16" t="str">
        <f>STT!Q30</f>
        <v>.15-04</v>
      </c>
      <c r="R27" s="31" t="str">
        <f>STT!R30</f>
        <v>keh</v>
      </c>
      <c r="S27" s="25">
        <f>STT!S30</f>
        <v>364</v>
      </c>
      <c r="T27" s="16" t="str">
        <f>STT!T30</f>
        <v>.14-08</v>
      </c>
      <c r="U27" s="31" t="str">
        <f>STT!U30</f>
        <v>camtec</v>
      </c>
    </row>
    <row r="28" spans="1:21">
      <c r="A28" s="143" t="str">
        <f>STT!A68</f>
        <v>Tamron</v>
      </c>
      <c r="B28" s="143" t="str">
        <f>STT!B68</f>
        <v>SP 24-70/2.8 Di VC USD</v>
      </c>
      <c r="C28" s="16" t="str">
        <f>STT!C68</f>
        <v>24-70</v>
      </c>
      <c r="D28" s="18">
        <f>STT!D68</f>
        <v>2.8</v>
      </c>
      <c r="E28" s="16" t="str">
        <f>STT!E68</f>
        <v>38-112</v>
      </c>
      <c r="F28" s="85" t="str">
        <f>STT!F68</f>
        <v>EF</v>
      </c>
      <c r="G28" s="58">
        <f>STT!G68</f>
        <v>0.38</v>
      </c>
      <c r="H28" s="53">
        <f>STT!H68</f>
        <v>0.82499999999999996</v>
      </c>
      <c r="I28" s="16">
        <f>STT!I68</f>
        <v>108.5</v>
      </c>
      <c r="J28" s="16">
        <f>STT!J68</f>
        <v>88.2</v>
      </c>
      <c r="K28" s="31">
        <f>STT!K68</f>
        <v>82</v>
      </c>
      <c r="L28" s="16">
        <f>STT!L68</f>
        <v>669.5</v>
      </c>
      <c r="M28" s="31" t="str">
        <f>STT!M68</f>
        <v>.16-01</v>
      </c>
      <c r="N28" s="16">
        <f>STT!N68</f>
        <v>872</v>
      </c>
      <c r="O28" s="16" t="str">
        <f>STT!O68</f>
        <v>.16-03</v>
      </c>
      <c r="P28" s="25">
        <f>STT!P68</f>
        <v>737.2</v>
      </c>
      <c r="Q28" s="16" t="str">
        <f>STT!Q68</f>
        <v>.16-01</v>
      </c>
      <c r="R28" s="31" t="str">
        <f>STT!R68</f>
        <v>camtec</v>
      </c>
      <c r="S28" s="25">
        <f>STT!S68</f>
        <v>880</v>
      </c>
      <c r="T28" s="16" t="str">
        <f>STT!T68</f>
        <v>.16-01</v>
      </c>
      <c r="U28" s="31" t="str">
        <f>STT!U68</f>
        <v>keh</v>
      </c>
    </row>
    <row r="29" spans="1:21">
      <c r="A29" s="143" t="str">
        <f>EFz!A15</f>
        <v>Canon</v>
      </c>
      <c r="B29" s="143" t="str">
        <f>EFz!B15</f>
        <v xml:space="preserve">EF 24-70/4 L IS USM </v>
      </c>
      <c r="C29" s="16" t="str">
        <f>EFz!C15</f>
        <v>24-70</v>
      </c>
      <c r="D29" s="18">
        <f>EFz!D15</f>
        <v>4</v>
      </c>
      <c r="E29" s="16" t="str">
        <f>EFz!E15</f>
        <v>38-110</v>
      </c>
      <c r="F29" s="85" t="str">
        <f>EFz!F15</f>
        <v>EF</v>
      </c>
      <c r="G29" s="58">
        <f>EFz!G15</f>
        <v>0.2</v>
      </c>
      <c r="H29" s="53">
        <f>EFz!H15</f>
        <v>0.6</v>
      </c>
      <c r="I29" s="16">
        <f>EFz!I15</f>
        <v>94</v>
      </c>
      <c r="J29" s="16">
        <f>EFz!J15</f>
        <v>83.8</v>
      </c>
      <c r="K29" s="31">
        <f>EFz!K15</f>
        <v>77</v>
      </c>
      <c r="L29" s="16">
        <f>EFz!L15</f>
        <v>532.66666666666663</v>
      </c>
      <c r="M29" s="31" t="str">
        <f>EFz!M15</f>
        <v>.16-05</v>
      </c>
      <c r="N29" s="16">
        <f>EFz!N15</f>
        <v>684.625</v>
      </c>
      <c r="O29" s="16" t="str">
        <f>EFz!O15</f>
        <v>.16-05</v>
      </c>
      <c r="P29" s="25">
        <f>EFz!P15</f>
        <v>700</v>
      </c>
      <c r="Q29" s="16" t="str">
        <f>EFz!Q15</f>
        <v>.15-11</v>
      </c>
      <c r="R29" s="31" t="str">
        <f>EFz!R15</f>
        <v>ado</v>
      </c>
      <c r="S29" s="25">
        <f>EFz!S15</f>
        <v>756.2</v>
      </c>
      <c r="T29" s="16" t="str">
        <f>EFz!T15</f>
        <v>.16-05</v>
      </c>
      <c r="U29" s="31" t="str">
        <f>EFz!U15</f>
        <v>d'town</v>
      </c>
    </row>
    <row r="30" spans="1:21">
      <c r="A30" s="143" t="str">
        <f>CZ.V!A80</f>
        <v>Carl Zeiss</v>
      </c>
      <c r="B30" s="143" t="str">
        <f>CZ.V!B80</f>
        <v>vSonnar T* 24-85/3.5-4.5 N</v>
      </c>
      <c r="C30" s="16" t="str">
        <f>CZ.V!C80</f>
        <v>24-85</v>
      </c>
      <c r="D30" s="18" t="str">
        <f>CZ.V!D80</f>
        <v>3.5-4.5</v>
      </c>
      <c r="E30" s="16" t="str">
        <f>CZ.V!E80</f>
        <v>38-136</v>
      </c>
      <c r="F30" s="85" t="str">
        <f>CZ.V!F80</f>
        <v>N</v>
      </c>
      <c r="G30" s="58">
        <f>CZ.V!G80</f>
        <v>0.5</v>
      </c>
      <c r="H30" s="53">
        <f>CZ.V!H80</f>
        <v>0.56999999999999995</v>
      </c>
      <c r="I30" s="16">
        <f>CZ.V!I80</f>
        <v>71</v>
      </c>
      <c r="J30" s="16">
        <f>CZ.V!J80</f>
        <v>90</v>
      </c>
      <c r="K30" s="31">
        <f>CZ.V!K80</f>
        <v>82</v>
      </c>
      <c r="L30" s="16">
        <f>CZ.V!L80</f>
        <v>358.5</v>
      </c>
      <c r="M30" s="31" t="str">
        <f>CZ.V!M80</f>
        <v>.16-05</v>
      </c>
      <c r="N30" s="16">
        <f>CZ.V!N80</f>
        <v>515.40909090909088</v>
      </c>
      <c r="O30" s="16" t="str">
        <f>CZ.V!O80</f>
        <v>.16-01</v>
      </c>
      <c r="P30" s="25">
        <f>CZ.V!P80</f>
        <v>487</v>
      </c>
      <c r="Q30" s="16" t="str">
        <f>CZ.V!Q80</f>
        <v>.16-01</v>
      </c>
      <c r="R30" s="31" t="str">
        <f>CZ.V!R80</f>
        <v>keh</v>
      </c>
      <c r="S30" s="25">
        <f>CZ.V!S80</f>
        <v>550</v>
      </c>
      <c r="T30" s="16" t="str">
        <f>CZ.V!T80</f>
        <v>.12-01</v>
      </c>
      <c r="U30" s="31" t="str">
        <f>CZ.V!U80</f>
        <v>ado</v>
      </c>
    </row>
    <row r="31" spans="1:21">
      <c r="A31" s="143" t="str">
        <f>EFz!A16</f>
        <v>Canon</v>
      </c>
      <c r="B31" s="143" t="str">
        <f>EFz!B16</f>
        <v xml:space="preserve">EF 24-105/4 L IS USM </v>
      </c>
      <c r="C31" s="16" t="str">
        <f>EFz!C16</f>
        <v>24-105</v>
      </c>
      <c r="D31" s="18">
        <f>EFz!D16</f>
        <v>4</v>
      </c>
      <c r="E31" s="16" t="str">
        <f>EFz!E16</f>
        <v>38-168</v>
      </c>
      <c r="F31" s="85" t="str">
        <f>EFz!F16</f>
        <v>EF</v>
      </c>
      <c r="G31" s="58">
        <f>EFz!G16</f>
        <v>0.45</v>
      </c>
      <c r="H31" s="53">
        <f>EFz!H16</f>
        <v>0.67</v>
      </c>
      <c r="I31" s="16">
        <f>EFz!I16</f>
        <v>107</v>
      </c>
      <c r="J31" s="16">
        <f>EFz!J16</f>
        <v>83.5</v>
      </c>
      <c r="K31" s="31">
        <f>EFz!K16</f>
        <v>77</v>
      </c>
      <c r="L31" s="16">
        <f>EFz!L16</f>
        <v>437.4</v>
      </c>
      <c r="M31" s="31" t="str">
        <f>EFz!M16</f>
        <v>.16-05</v>
      </c>
      <c r="N31" s="16">
        <f>EFz!N16</f>
        <v>532.88888888888891</v>
      </c>
      <c r="O31" s="16" t="str">
        <f>EFz!O16</f>
        <v>.16-05</v>
      </c>
      <c r="P31" s="25">
        <f>EFz!P16</f>
        <v>531.24</v>
      </c>
      <c r="Q31" s="16" t="str">
        <f>EFz!Q16</f>
        <v>.16-03</v>
      </c>
      <c r="R31" s="31" t="str">
        <f>EFz!R16</f>
        <v>ctc</v>
      </c>
      <c r="S31" s="25">
        <f>EFz!S16</f>
        <v>620</v>
      </c>
      <c r="T31" s="16" t="str">
        <f>EFz!T16</f>
        <v>.16-01</v>
      </c>
      <c r="U31" s="31" t="str">
        <f>EFz!U16</f>
        <v>LA</v>
      </c>
    </row>
    <row r="32" spans="1:21">
      <c r="A32" s="143" t="str">
        <f>STT!A31</f>
        <v>Sigma</v>
      </c>
      <c r="B32" s="143" t="str">
        <f>STT!B31</f>
        <v>EX 24-105/4 OS Art</v>
      </c>
      <c r="C32" s="16" t="str">
        <f>STT!C31</f>
        <v>24-105</v>
      </c>
      <c r="D32" s="18">
        <f>STT!D31</f>
        <v>4</v>
      </c>
      <c r="E32" s="16" t="str">
        <f>STT!E31</f>
        <v>38-155</v>
      </c>
      <c r="F32" s="85" t="str">
        <f>STT!F31</f>
        <v>EF</v>
      </c>
      <c r="G32" s="58">
        <f>STT!G31</f>
        <v>0.45</v>
      </c>
      <c r="H32" s="53">
        <f>STT!H31</f>
        <v>0.88500000000000001</v>
      </c>
      <c r="I32" s="16">
        <f>STT!I31</f>
        <v>109.4</v>
      </c>
      <c r="J32" s="16">
        <f>STT!J31</f>
        <v>88.6</v>
      </c>
      <c r="K32" s="31">
        <f>STT!K31</f>
        <v>82</v>
      </c>
      <c r="L32" s="16">
        <f>STT!L31</f>
        <v>0</v>
      </c>
      <c r="M32" s="31" t="str">
        <f>STT!M31</f>
        <v xml:space="preserve"> </v>
      </c>
      <c r="N32" s="16">
        <f>STT!N31</f>
        <v>659</v>
      </c>
      <c r="O32" s="16" t="str">
        <f>STT!O31</f>
        <v>.16-03</v>
      </c>
      <c r="P32" s="25">
        <f>STT!P31</f>
        <v>608</v>
      </c>
      <c r="Q32" s="16" t="str">
        <f>STT!Q31</f>
        <v>.15-11</v>
      </c>
      <c r="R32" s="31" t="str">
        <f>STT!R31</f>
        <v>henrys</v>
      </c>
      <c r="S32" s="25" t="str">
        <f>STT!S31</f>
        <v xml:space="preserve"> </v>
      </c>
      <c r="T32" s="16" t="str">
        <f>STT!T31</f>
        <v xml:space="preserve"> </v>
      </c>
      <c r="U32" s="31" t="str">
        <f>STT!U31</f>
        <v xml:space="preserve"> </v>
      </c>
    </row>
    <row r="33" spans="1:21">
      <c r="A33" s="144" t="str">
        <f>STT!A69</f>
        <v>Tamron</v>
      </c>
      <c r="B33" s="144" t="str">
        <f>STT!B69</f>
        <v xml:space="preserve">SP 24-135/3.5-5.6 AF </v>
      </c>
      <c r="C33" s="27" t="str">
        <f>STT!C69</f>
        <v>24-135</v>
      </c>
      <c r="D33" s="41" t="str">
        <f>STT!D69</f>
        <v>3.5-5.6</v>
      </c>
      <c r="E33" s="27" t="str">
        <f>STT!E69</f>
        <v>38-216</v>
      </c>
      <c r="F33" s="86" t="str">
        <f>STT!F69</f>
        <v>EF</v>
      </c>
      <c r="G33" s="55">
        <f>STT!G69</f>
        <v>0.4</v>
      </c>
      <c r="H33" s="56">
        <f>STT!H69</f>
        <v>0.53</v>
      </c>
      <c r="I33" s="27">
        <f>STT!I69</f>
        <v>79</v>
      </c>
      <c r="J33" s="27">
        <f>STT!J69</f>
        <v>81</v>
      </c>
      <c r="K33" s="33">
        <f>STT!K69</f>
        <v>72</v>
      </c>
      <c r="L33" s="27">
        <f>STT!L69</f>
        <v>140.57142857142858</v>
      </c>
      <c r="M33" s="33" t="str">
        <f>STT!M69</f>
        <v>.14-02</v>
      </c>
      <c r="N33" s="27">
        <f>STT!N69</f>
        <v>212</v>
      </c>
      <c r="O33" s="27" t="str">
        <f>STT!O69</f>
        <v>.15-03</v>
      </c>
      <c r="P33" s="26">
        <f>STT!P69</f>
        <v>175</v>
      </c>
      <c r="Q33" s="27" t="str">
        <f>STT!Q69</f>
        <v>.15-04</v>
      </c>
      <c r="R33" s="33" t="str">
        <f>STT!R69</f>
        <v>keh</v>
      </c>
      <c r="S33" s="26" t="str">
        <f>STT!S69</f>
        <v xml:space="preserve"> </v>
      </c>
      <c r="T33" s="27" t="str">
        <f>STT!T69</f>
        <v xml:space="preserve"> </v>
      </c>
      <c r="U33" s="33" t="str">
        <f>STT!U69</f>
        <v xml:space="preserve"> </v>
      </c>
    </row>
    <row r="34" spans="1:21">
      <c r="A34" s="143" t="str">
        <f>EFz!A17</f>
        <v>Canon</v>
      </c>
      <c r="B34" s="143" t="str">
        <f>EFz!B17</f>
        <v xml:space="preserve">EF 28-70/2.8 L USM </v>
      </c>
      <c r="C34" s="16" t="str">
        <f>EFz!C17</f>
        <v>28-70</v>
      </c>
      <c r="D34" s="18">
        <f>EFz!D17</f>
        <v>2.8</v>
      </c>
      <c r="E34" s="16" t="str">
        <f>EFz!E17</f>
        <v>45-110</v>
      </c>
      <c r="F34" s="85" t="str">
        <f>EFz!F17</f>
        <v>EF</v>
      </c>
      <c r="G34" s="58">
        <f>EFz!G17</f>
        <v>0.5</v>
      </c>
      <c r="H34" s="53">
        <f>EFz!H17</f>
        <v>0.88</v>
      </c>
      <c r="I34" s="16">
        <f>EFz!I17</f>
        <v>117.6</v>
      </c>
      <c r="J34" s="16">
        <f>EFz!J17</f>
        <v>83.2</v>
      </c>
      <c r="K34" s="31">
        <f>EFz!K17</f>
        <v>77</v>
      </c>
      <c r="L34" s="16">
        <f>EFz!L17</f>
        <v>504.91666666666669</v>
      </c>
      <c r="M34" s="31" t="str">
        <f>EFz!M17</f>
        <v>.16-05</v>
      </c>
      <c r="N34" s="16">
        <f>EFz!N17</f>
        <v>602.77777777777783</v>
      </c>
      <c r="O34" s="16" t="str">
        <f>EFz!O17</f>
        <v>.16-04</v>
      </c>
      <c r="P34" s="25">
        <f>EFz!P17</f>
        <v>620</v>
      </c>
      <c r="Q34" s="16" t="str">
        <f>EFz!Q17</f>
        <v>.16-01</v>
      </c>
      <c r="R34" s="31" t="str">
        <f>EFz!R17</f>
        <v>keh</v>
      </c>
      <c r="S34" s="25">
        <f>EFz!S17</f>
        <v>730</v>
      </c>
      <c r="T34" s="16" t="str">
        <f>EFz!T17</f>
        <v>.16-01</v>
      </c>
      <c r="U34" s="31" t="str">
        <f>EFz!U17</f>
        <v>keh</v>
      </c>
    </row>
    <row r="35" spans="1:21">
      <c r="A35" s="143" t="str">
        <f>STT!A32</f>
        <v>Sigma</v>
      </c>
      <c r="B35" s="143" t="str">
        <f>STT!B32</f>
        <v>EX 28-70/2.8 ASP EX DG</v>
      </c>
      <c r="C35" s="16" t="str">
        <f>STT!C32</f>
        <v>28-70</v>
      </c>
      <c r="D35" s="18">
        <f>STT!D32</f>
        <v>2.8</v>
      </c>
      <c r="E35" s="16" t="str">
        <f>STT!E32</f>
        <v>45-112</v>
      </c>
      <c r="F35" s="85" t="str">
        <f>STT!F32</f>
        <v>EF</v>
      </c>
      <c r="G35" s="58">
        <f>STT!G32</f>
        <v>0.4</v>
      </c>
      <c r="H35" s="53">
        <f>STT!H32</f>
        <v>0.64500000000000002</v>
      </c>
      <c r="I35" s="16">
        <f>STT!I32</f>
        <v>101</v>
      </c>
      <c r="J35" s="16">
        <f>STT!J32</f>
        <v>84</v>
      </c>
      <c r="K35" s="31">
        <f>STT!K32</f>
        <v>77</v>
      </c>
      <c r="L35" s="16">
        <f>STT!L32</f>
        <v>222.22222222222223</v>
      </c>
      <c r="M35" s="31" t="str">
        <f>STT!M32</f>
        <v>.16-03</v>
      </c>
      <c r="N35" s="16">
        <f>STT!N32</f>
        <v>272</v>
      </c>
      <c r="O35" s="16" t="str">
        <f>STT!O32</f>
        <v>.14-03</v>
      </c>
      <c r="P35" s="25">
        <f>STT!P32</f>
        <v>254</v>
      </c>
      <c r="Q35" s="16" t="str">
        <f>STT!Q32</f>
        <v>.14-03</v>
      </c>
      <c r="R35" s="31" t="str">
        <f>STT!R32</f>
        <v>keh</v>
      </c>
      <c r="S35" s="25" t="str">
        <f>STT!S32</f>
        <v xml:space="preserve"> </v>
      </c>
      <c r="T35" s="16" t="str">
        <f>STT!T32</f>
        <v xml:space="preserve"> </v>
      </c>
      <c r="U35" s="31" t="str">
        <f>STT!U32</f>
        <v xml:space="preserve"> </v>
      </c>
    </row>
    <row r="36" spans="1:21">
      <c r="A36" s="143" t="str">
        <f>STT!A101</f>
        <v>Tokina</v>
      </c>
      <c r="B36" s="143" t="str">
        <f>STT!B101</f>
        <v>AT-X &amp; AT-X Pro SV</v>
      </c>
      <c r="C36" s="16" t="str">
        <f>STT!C101</f>
        <v>28-70</v>
      </c>
      <c r="D36" s="18">
        <f>STT!D101</f>
        <v>2.8</v>
      </c>
      <c r="E36" s="16" t="str">
        <f>STT!E101</f>
        <v>45-112</v>
      </c>
      <c r="F36" s="85" t="str">
        <f>STT!F101</f>
        <v>EF</v>
      </c>
      <c r="G36" s="58">
        <f>STT!G101</f>
        <v>0.7</v>
      </c>
      <c r="H36" s="53">
        <f>STT!H101</f>
        <v>0.72</v>
      </c>
      <c r="I36" s="16">
        <f>STT!I101</f>
        <v>108</v>
      </c>
      <c r="J36" s="16">
        <f>STT!J101</f>
        <v>84</v>
      </c>
      <c r="K36" s="31">
        <f>STT!K101</f>
        <v>77</v>
      </c>
      <c r="L36" s="16">
        <f>STT!L101</f>
        <v>216.36363636363637</v>
      </c>
      <c r="M36" s="31" t="str">
        <f>STT!M101</f>
        <v>.16-05</v>
      </c>
      <c r="N36" s="16">
        <f>STT!N101</f>
        <v>314.57142857142856</v>
      </c>
      <c r="O36" s="16" t="str">
        <f>STT!O101</f>
        <v>.16-04</v>
      </c>
      <c r="P36" s="25">
        <f>STT!P101</f>
        <v>415</v>
      </c>
      <c r="Q36" s="16" t="str">
        <f>STT!Q101</f>
        <v>.12-04</v>
      </c>
      <c r="R36" s="31" t="str">
        <f>STT!R101</f>
        <v>keh</v>
      </c>
      <c r="S36" s="25" t="str">
        <f>STT!S101</f>
        <v xml:space="preserve"> </v>
      </c>
      <c r="T36" s="16" t="str">
        <f>STT!T101</f>
        <v xml:space="preserve"> </v>
      </c>
      <c r="U36" s="31" t="str">
        <f>STT!U101</f>
        <v xml:space="preserve"> </v>
      </c>
    </row>
    <row r="37" spans="1:21">
      <c r="A37" s="143" t="str">
        <f>STT!A102</f>
        <v>Tokina</v>
      </c>
      <c r="B37" s="143" t="str">
        <f>STT!B102</f>
        <v>AT-X Pro, Pro II</v>
      </c>
      <c r="C37" s="16" t="str">
        <f>STT!C102</f>
        <v>28-70</v>
      </c>
      <c r="D37" s="18" t="str">
        <f>STT!D102</f>
        <v>2.6-2.8</v>
      </c>
      <c r="E37" s="16" t="str">
        <f>STT!E102</f>
        <v>45-112</v>
      </c>
      <c r="F37" s="85" t="str">
        <f>STT!F102</f>
        <v>EF</v>
      </c>
      <c r="G37" s="58">
        <f>STT!G102</f>
        <v>0.7</v>
      </c>
      <c r="H37" s="53">
        <f>STT!H102</f>
        <v>0.75</v>
      </c>
      <c r="I37" s="16">
        <f>STT!I102</f>
        <v>107</v>
      </c>
      <c r="J37" s="16">
        <f>STT!J102</f>
        <v>79</v>
      </c>
      <c r="K37" s="31">
        <f>STT!K102</f>
        <v>77</v>
      </c>
      <c r="L37" s="16">
        <f>STT!L102</f>
        <v>253.25</v>
      </c>
      <c r="M37" s="31" t="str">
        <f>STT!M102</f>
        <v>.14-03</v>
      </c>
      <c r="N37" s="16">
        <f>STT!N102</f>
        <v>336.875</v>
      </c>
      <c r="O37" s="16" t="str">
        <f>STT!O102</f>
        <v>.13-02</v>
      </c>
      <c r="P37" s="25">
        <f>STT!P102</f>
        <v>310</v>
      </c>
      <c r="Q37" s="16" t="str">
        <f>STT!Q102</f>
        <v>.13-07</v>
      </c>
      <c r="R37" s="31" t="str">
        <f>STT!R102</f>
        <v>keh</v>
      </c>
      <c r="S37" s="25" t="str">
        <f>STT!S102</f>
        <v xml:space="preserve"> </v>
      </c>
      <c r="T37" s="16" t="str">
        <f>STT!T102</f>
        <v xml:space="preserve"> </v>
      </c>
      <c r="U37" s="31" t="str">
        <f>STT!U102</f>
        <v xml:space="preserve"> </v>
      </c>
    </row>
    <row r="38" spans="1:21">
      <c r="A38" s="143" t="str">
        <f>CZ.V!A66</f>
        <v>Carl Zeiss</v>
      </c>
      <c r="B38" s="143" t="str">
        <f>CZ.V!B66</f>
        <v>vSonnar T* 28-70/3.3-4 CY</v>
      </c>
      <c r="C38" s="16" t="str">
        <f>CZ.V!C66</f>
        <v>28-70</v>
      </c>
      <c r="D38" s="18" t="str">
        <f>CZ.V!D66</f>
        <v>3.5-4.5</v>
      </c>
      <c r="E38" s="16" t="str">
        <f>CZ.V!E66</f>
        <v>45-112</v>
      </c>
      <c r="F38" s="85" t="str">
        <f>CZ.V!F66</f>
        <v>CY</v>
      </c>
      <c r="G38" s="58">
        <f>CZ.V!G66</f>
        <v>0.5</v>
      </c>
      <c r="H38" s="53">
        <f>CZ.V!H66</f>
        <v>0.32</v>
      </c>
      <c r="I38" s="16">
        <f>CZ.V!I66</f>
        <v>68</v>
      </c>
      <c r="J38" s="16">
        <f>CZ.V!J66</f>
        <v>70</v>
      </c>
      <c r="K38" s="31">
        <f>CZ.V!K66</f>
        <v>67</v>
      </c>
      <c r="L38" s="16">
        <f>CZ.V!L66</f>
        <v>232</v>
      </c>
      <c r="M38" s="31" t="str">
        <f>CZ.V!M66</f>
        <v>.16-04</v>
      </c>
      <c r="N38" s="16">
        <f>CZ.V!N66</f>
        <v>301.11111111111109</v>
      </c>
      <c r="O38" s="16" t="str">
        <f>CZ.V!O66</f>
        <v>.16-04</v>
      </c>
      <c r="P38" s="25" t="str">
        <f>CZ.V!P66</f>
        <v xml:space="preserve"> </v>
      </c>
      <c r="Q38" s="16" t="str">
        <f>CZ.V!Q66</f>
        <v xml:space="preserve"> </v>
      </c>
      <c r="R38" s="31" t="str">
        <f>CZ.V!R66</f>
        <v xml:space="preserve"> </v>
      </c>
      <c r="S38" s="25">
        <f>CZ.V!S66</f>
        <v>300</v>
      </c>
      <c r="T38" s="16" t="str">
        <f>CZ.V!T66</f>
        <v>.16-01</v>
      </c>
      <c r="U38" s="31" t="str">
        <f>CZ.V!U66</f>
        <v>b&amp;h</v>
      </c>
    </row>
    <row r="39" spans="1:21">
      <c r="A39" s="143" t="str">
        <f>STT!A70</f>
        <v>Tamron</v>
      </c>
      <c r="B39" s="143" t="str">
        <f>STT!B70</f>
        <v>SP 28-75/2.8 XR Di AF</v>
      </c>
      <c r="C39" s="16" t="str">
        <f>STT!C70</f>
        <v>28-75</v>
      </c>
      <c r="D39" s="18">
        <f>STT!D70</f>
        <v>2.8</v>
      </c>
      <c r="E39" s="16" t="str">
        <f>STT!E70</f>
        <v>45-115</v>
      </c>
      <c r="F39" s="85" t="str">
        <f>STT!F70</f>
        <v>EF</v>
      </c>
      <c r="G39" s="58">
        <f>STT!G70</f>
        <v>0.33</v>
      </c>
      <c r="H39" s="53">
        <f>STT!H70</f>
        <v>0.51</v>
      </c>
      <c r="I39" s="16">
        <f>STT!I70</f>
        <v>92</v>
      </c>
      <c r="J39" s="16">
        <f>STT!J70</f>
        <v>73</v>
      </c>
      <c r="K39" s="31">
        <f>STT!K70</f>
        <v>67</v>
      </c>
      <c r="L39" s="16">
        <f>STT!L70</f>
        <v>205.2</v>
      </c>
      <c r="M39" s="31" t="str">
        <f>STT!M70</f>
        <v>.16-05</v>
      </c>
      <c r="N39" s="16">
        <f>STT!N70</f>
        <v>323.5</v>
      </c>
      <c r="O39" s="16" t="str">
        <f>STT!O70</f>
        <v>.15-11</v>
      </c>
      <c r="P39" s="25">
        <f>STT!P70</f>
        <v>330</v>
      </c>
      <c r="Q39" s="16" t="str">
        <f>STT!Q70</f>
        <v>.16-01</v>
      </c>
      <c r="R39" s="31" t="str">
        <f>STT!R70</f>
        <v>ado</v>
      </c>
      <c r="S39" s="25" t="str">
        <f>STT!S70</f>
        <v xml:space="preserve"> </v>
      </c>
      <c r="T39" s="16" t="str">
        <f>STT!T70</f>
        <v xml:space="preserve"> </v>
      </c>
      <c r="U39" s="31" t="str">
        <f>STT!U70</f>
        <v xml:space="preserve"> </v>
      </c>
    </row>
    <row r="40" spans="1:21">
      <c r="A40" s="143" t="str">
        <f>STT!A103</f>
        <v>Tokina</v>
      </c>
      <c r="B40" s="143" t="str">
        <f>STT!B103</f>
        <v>AT-X Pro AF</v>
      </c>
      <c r="C40" s="16" t="str">
        <f>STT!C103</f>
        <v>28-80</v>
      </c>
      <c r="D40" s="18">
        <f>STT!D103</f>
        <v>2.8</v>
      </c>
      <c r="E40" s="16" t="str">
        <f>STT!E103</f>
        <v>45-128</v>
      </c>
      <c r="F40" s="85" t="str">
        <f>STT!F103</f>
        <v>EF</v>
      </c>
      <c r="G40" s="58">
        <f>STT!G103</f>
        <v>0.5</v>
      </c>
      <c r="H40" s="53">
        <f>STT!H103</f>
        <v>0.82</v>
      </c>
      <c r="I40" s="16">
        <f>STT!I103</f>
        <v>120</v>
      </c>
      <c r="J40" s="16">
        <f>STT!J103</f>
        <v>84</v>
      </c>
      <c r="K40" s="31">
        <f>STT!K103</f>
        <v>77</v>
      </c>
      <c r="L40" s="16">
        <f>STT!L103</f>
        <v>258</v>
      </c>
      <c r="M40" s="31" t="str">
        <f>STT!M103</f>
        <v>.16-01</v>
      </c>
      <c r="N40" s="16">
        <f>STT!N103</f>
        <v>339.5</v>
      </c>
      <c r="O40" s="16" t="str">
        <f>STT!O103</f>
        <v>.16-05</v>
      </c>
      <c r="P40" s="25">
        <f>STT!P103</f>
        <v>245</v>
      </c>
      <c r="Q40" s="16" t="str">
        <f>STT!Q103</f>
        <v>.13-07</v>
      </c>
      <c r="R40" s="31" t="str">
        <f>STT!R103</f>
        <v>keh</v>
      </c>
      <c r="S40" s="25" t="str">
        <f>STT!S103</f>
        <v xml:space="preserve"> </v>
      </c>
      <c r="T40" s="16" t="str">
        <f>STT!T103</f>
        <v xml:space="preserve"> </v>
      </c>
      <c r="U40" s="31" t="str">
        <f>STT!U103</f>
        <v xml:space="preserve"> </v>
      </c>
    </row>
    <row r="41" spans="1:21">
      <c r="A41" s="143" t="str">
        <f>EFz!A18</f>
        <v>Canon</v>
      </c>
      <c r="B41" s="143" t="str">
        <f>EFz!B18</f>
        <v xml:space="preserve">EF 28-80/2.8-4 L USM </v>
      </c>
      <c r="C41" s="16" t="str">
        <f>EFz!C18</f>
        <v>28-80</v>
      </c>
      <c r="D41" s="18" t="str">
        <f>EFz!D18</f>
        <v>2.8-4</v>
      </c>
      <c r="E41" s="16" t="str">
        <f>EFz!E18</f>
        <v>45-128</v>
      </c>
      <c r="F41" s="85" t="str">
        <f>EFz!F18</f>
        <v>EF</v>
      </c>
      <c r="G41" s="58">
        <f>EFz!G18</f>
        <v>0.3</v>
      </c>
      <c r="H41" s="53">
        <f>EFz!H18</f>
        <v>0.94499999999999995</v>
      </c>
      <c r="I41" s="16">
        <f>EFz!I18</f>
        <v>119.5</v>
      </c>
      <c r="J41" s="16">
        <f>EFz!J18</f>
        <v>84</v>
      </c>
      <c r="K41" s="31">
        <f>EFz!K18</f>
        <v>72</v>
      </c>
      <c r="L41" s="16">
        <f>EFz!L18</f>
        <v>372.14285714285717</v>
      </c>
      <c r="M41" s="31" t="str">
        <f>EFz!M18</f>
        <v>.16-05</v>
      </c>
      <c r="N41" s="16">
        <f>EFz!N18</f>
        <v>561.77777777777783</v>
      </c>
      <c r="O41" s="16" t="str">
        <f>EFz!O18</f>
        <v>.15-04</v>
      </c>
      <c r="P41" s="25">
        <f>EFz!P18</f>
        <v>530</v>
      </c>
      <c r="Q41" s="16" t="str">
        <f>EFz!Q18</f>
        <v>.16-01</v>
      </c>
      <c r="R41" s="31" t="str">
        <f>EFz!R18</f>
        <v>keh</v>
      </c>
      <c r="S41" s="25">
        <f>EFz!S18</f>
        <v>800</v>
      </c>
      <c r="T41" s="16" t="str">
        <f>EFz!T18</f>
        <v>.10-05</v>
      </c>
      <c r="U41" s="31" t="str">
        <f>EFz!U18</f>
        <v>ado</v>
      </c>
    </row>
    <row r="42" spans="1:21">
      <c r="A42" s="143" t="str">
        <f>CZ.V!A67</f>
        <v>Carl Zeiss</v>
      </c>
      <c r="B42" s="143" t="str">
        <f>CZ.V!B67</f>
        <v>vSonnar T* 28-85/3.3-4 CY</v>
      </c>
      <c r="C42" s="16" t="str">
        <f>CZ.V!C67</f>
        <v>28-85</v>
      </c>
      <c r="D42" s="18" t="str">
        <f>CZ.V!D67</f>
        <v>3.3-4</v>
      </c>
      <c r="E42" s="16" t="str">
        <f>CZ.V!E67</f>
        <v>45-136</v>
      </c>
      <c r="F42" s="85" t="str">
        <f>CZ.V!F67</f>
        <v>CY</v>
      </c>
      <c r="G42" s="58">
        <f>CZ.V!G67</f>
        <v>0.61</v>
      </c>
      <c r="H42" s="53">
        <f>CZ.V!H67</f>
        <v>0.74</v>
      </c>
      <c r="I42" s="16">
        <f>CZ.V!I67</f>
        <v>99</v>
      </c>
      <c r="J42" s="16">
        <f>CZ.V!J67</f>
        <v>86</v>
      </c>
      <c r="K42" s="31">
        <f>CZ.V!K67</f>
        <v>82</v>
      </c>
      <c r="L42" s="16">
        <f>CZ.V!L67</f>
        <v>324.90909090909093</v>
      </c>
      <c r="M42" s="31" t="str">
        <f>CZ.V!M67</f>
        <v>.16-05</v>
      </c>
      <c r="N42" s="16">
        <f>CZ.V!N67</f>
        <v>421.8</v>
      </c>
      <c r="O42" s="16" t="str">
        <f>CZ.V!O67</f>
        <v>.16-05</v>
      </c>
      <c r="P42" s="25">
        <f>CZ.V!P67</f>
        <v>490</v>
      </c>
      <c r="Q42" s="16" t="str">
        <f>CZ.V!Q67</f>
        <v>.16-05</v>
      </c>
      <c r="R42" s="31" t="str">
        <f>CZ.V!R67</f>
        <v>keh</v>
      </c>
      <c r="S42" s="25">
        <f>CZ.V!S67</f>
        <v>650</v>
      </c>
      <c r="T42" s="16" t="str">
        <f>CZ.V!T67</f>
        <v>.14-08</v>
      </c>
      <c r="U42" s="31" t="str">
        <f>CZ.V!U67</f>
        <v>b&amp;h</v>
      </c>
    </row>
    <row r="43" spans="1:21">
      <c r="A43" s="143" t="str">
        <f>STT!A71</f>
        <v>Tamron</v>
      </c>
      <c r="B43" s="143" t="str">
        <f>STT!B71</f>
        <v>SP 28-105/2.8 LD ASP AF</v>
      </c>
      <c r="C43" s="16" t="str">
        <f>STT!C71</f>
        <v>28-105</v>
      </c>
      <c r="D43" s="18">
        <f>STT!D71</f>
        <v>2.8</v>
      </c>
      <c r="E43" s="16" t="str">
        <f>STT!E71</f>
        <v>45-168</v>
      </c>
      <c r="F43" s="85" t="str">
        <f>STT!F71</f>
        <v>EF</v>
      </c>
      <c r="G43" s="58">
        <f>STT!G71</f>
        <v>0.44</v>
      </c>
      <c r="H43" s="53">
        <f>STT!H71</f>
        <v>0.84499999999999997</v>
      </c>
      <c r="I43" s="16">
        <f>STT!I71</f>
        <v>104.5</v>
      </c>
      <c r="J43" s="16">
        <f>STT!J71</f>
        <v>87</v>
      </c>
      <c r="K43" s="31">
        <f>STT!K71</f>
        <v>82</v>
      </c>
      <c r="L43" s="16">
        <f>STT!L71</f>
        <v>192.25</v>
      </c>
      <c r="M43" s="31" t="str">
        <f>STT!M71</f>
        <v>.15-10</v>
      </c>
      <c r="N43" s="16">
        <f>STT!N71</f>
        <v>320.5</v>
      </c>
      <c r="O43" s="16" t="str">
        <f>STT!O71</f>
        <v>.15-09</v>
      </c>
      <c r="P43" s="25">
        <f>STT!P71</f>
        <v>390</v>
      </c>
      <c r="Q43" s="16" t="str">
        <f>STT!Q71</f>
        <v>.15-04</v>
      </c>
      <c r="R43" s="31" t="str">
        <f>STT!R71</f>
        <v>b&amp;h</v>
      </c>
      <c r="S43" s="25">
        <f>STT!S71</f>
        <v>425</v>
      </c>
      <c r="T43" s="16" t="str">
        <f>STT!T71</f>
        <v>.15-04</v>
      </c>
      <c r="U43" s="31" t="str">
        <f>STT!U71</f>
        <v>b&amp;h</v>
      </c>
    </row>
    <row r="44" spans="1:21">
      <c r="A44" s="143" t="str">
        <f>EFz!A36</f>
        <v>Canon</v>
      </c>
      <c r="B44" s="143" t="str">
        <f>EFz!B36</f>
        <v xml:space="preserve">EF 28-135/3.5-5.6 IS USM </v>
      </c>
      <c r="C44" s="16" t="str">
        <f>EFz!C36</f>
        <v>28-135</v>
      </c>
      <c r="D44" s="18" t="str">
        <f>EFz!D36</f>
        <v>3.5-5.6</v>
      </c>
      <c r="E44" s="16" t="str">
        <f>EFz!E36</f>
        <v>45-215</v>
      </c>
      <c r="F44" s="85" t="str">
        <f>EFz!F36</f>
        <v>EF</v>
      </c>
      <c r="G44" s="58">
        <f>EFz!G36</f>
        <v>0.5</v>
      </c>
      <c r="H44" s="53">
        <f>EFz!H36</f>
        <v>0.54</v>
      </c>
      <c r="I44" s="16">
        <f>EFz!I36</f>
        <v>96.8</v>
      </c>
      <c r="J44" s="16">
        <f>EFz!J36</f>
        <v>78.400000000000006</v>
      </c>
      <c r="K44" s="31">
        <f>EFz!K36</f>
        <v>72</v>
      </c>
      <c r="L44" s="16">
        <f>EFz!L36</f>
        <v>125.77777777777777</v>
      </c>
      <c r="M44" s="31" t="str">
        <f>EFz!M36</f>
        <v>.16-05</v>
      </c>
      <c r="N44" s="16">
        <f>EFz!N36</f>
        <v>171.33333333333334</v>
      </c>
      <c r="O44" s="16" t="str">
        <f>EFz!O36</f>
        <v>.16-05</v>
      </c>
      <c r="P44" s="25">
        <f>EFz!P36</f>
        <v>170</v>
      </c>
      <c r="Q44" s="16" t="str">
        <f>EFz!Q36</f>
        <v>.16-01</v>
      </c>
      <c r="R44" s="31" t="str">
        <f>EFz!R36</f>
        <v>keh</v>
      </c>
      <c r="S44" s="25">
        <f>EFz!S36</f>
        <v>266</v>
      </c>
      <c r="T44" s="16" t="str">
        <f>EFz!T36</f>
        <v>.16-05</v>
      </c>
      <c r="U44" s="31" t="str">
        <f>EFz!U36</f>
        <v>d'town</v>
      </c>
    </row>
    <row r="45" spans="1:21">
      <c r="A45" s="143" t="str">
        <f>STT!A72</f>
        <v>Tamron</v>
      </c>
      <c r="B45" s="143" t="str">
        <f>STT!B72</f>
        <v>SP 28-200/3.8-5.6 XR AF</v>
      </c>
      <c r="C45" s="16" t="str">
        <f>STT!C72</f>
        <v>28-200</v>
      </c>
      <c r="D45" s="18">
        <f>STT!D72</f>
        <v>2.8</v>
      </c>
      <c r="E45" s="16" t="str">
        <f>STT!E72</f>
        <v>45-320</v>
      </c>
      <c r="F45" s="85" t="str">
        <f>STT!F72</f>
        <v>EF</v>
      </c>
      <c r="G45" s="58">
        <f>STT!G72</f>
        <v>0.49</v>
      </c>
      <c r="H45" s="53">
        <f>STT!H72</f>
        <v>0.35399999999999998</v>
      </c>
      <c r="I45" s="16">
        <f>STT!I72</f>
        <v>75.2</v>
      </c>
      <c r="J45" s="16">
        <f>STT!J72</f>
        <v>71</v>
      </c>
      <c r="K45" s="31">
        <f>STT!K72</f>
        <v>62</v>
      </c>
      <c r="L45" s="16">
        <f>STT!L72</f>
        <v>122.5</v>
      </c>
      <c r="M45" s="31" t="str">
        <f>STT!M72</f>
        <v>.14-08</v>
      </c>
      <c r="N45" s="16">
        <f>STT!N72</f>
        <v>140</v>
      </c>
      <c r="O45" s="16" t="str">
        <f>STT!O72</f>
        <v>.14-08</v>
      </c>
      <c r="P45" s="25">
        <f>STT!P72</f>
        <v>80</v>
      </c>
      <c r="Q45" s="16" t="str">
        <f>STT!Q72</f>
        <v>.14-06</v>
      </c>
      <c r="R45" s="31" t="str">
        <f>STT!R72</f>
        <v>keh</v>
      </c>
      <c r="S45" s="25" t="str">
        <f>STT!S72</f>
        <v xml:space="preserve"> </v>
      </c>
      <c r="T45" s="16" t="str">
        <f>STT!T72</f>
        <v xml:space="preserve"> </v>
      </c>
      <c r="U45" s="31" t="str">
        <f>STT!U72</f>
        <v xml:space="preserve"> </v>
      </c>
    </row>
    <row r="46" spans="1:21">
      <c r="A46" s="144" t="str">
        <f>EFz!A28</f>
        <v>Canon</v>
      </c>
      <c r="B46" s="144" t="str">
        <f>EFz!B28</f>
        <v xml:space="preserve">EF 28-300/3.5-5.6 L IS USM </v>
      </c>
      <c r="C46" s="27" t="str">
        <f>EFz!C28</f>
        <v>28-300</v>
      </c>
      <c r="D46" s="41" t="str">
        <f>EFz!D28</f>
        <v>3.5-5.6</v>
      </c>
      <c r="E46" s="27" t="str">
        <f>EFz!E28</f>
        <v>45-420</v>
      </c>
      <c r="F46" s="86" t="str">
        <f>EFz!F28</f>
        <v>EF</v>
      </c>
      <c r="G46" s="55">
        <f>EFz!G28</f>
        <v>0.7</v>
      </c>
      <c r="H46" s="56">
        <f>EFz!H28</f>
        <v>1.67</v>
      </c>
      <c r="I46" s="27">
        <f>EFz!I28</f>
        <v>184</v>
      </c>
      <c r="J46" s="27">
        <f>EFz!J28</f>
        <v>92</v>
      </c>
      <c r="K46" s="33">
        <f>EFz!K28</f>
        <v>77</v>
      </c>
      <c r="L46" s="27">
        <f>EFz!L28</f>
        <v>1376.5</v>
      </c>
      <c r="M46" s="33" t="str">
        <f>EFz!M28</f>
        <v>.16-05</v>
      </c>
      <c r="N46" s="27">
        <f>EFz!N28</f>
        <v>1662.4285714285713</v>
      </c>
      <c r="O46" s="27" t="str">
        <f>EFz!O28</f>
        <v>.16-05</v>
      </c>
      <c r="P46" s="26">
        <f>EFz!P28</f>
        <v>1650</v>
      </c>
      <c r="Q46" s="27" t="str">
        <f>EFz!Q28</f>
        <v>.16-01</v>
      </c>
      <c r="R46" s="33" t="str">
        <f>EFz!R28</f>
        <v>LA</v>
      </c>
      <c r="S46" s="26">
        <f>EFz!S28</f>
        <v>2000</v>
      </c>
      <c r="T46" s="27" t="str">
        <f>EFz!T28</f>
        <v>.16-01</v>
      </c>
      <c r="U46" s="33" t="str">
        <f>EFz!U28</f>
        <v>b&amp;h</v>
      </c>
    </row>
    <row r="47" spans="1:21">
      <c r="A47" s="143" t="str">
        <f>CZ.V!A68</f>
        <v>Carl Zeiss</v>
      </c>
      <c r="B47" s="143" t="str">
        <f>CZ.V!B68</f>
        <v>vSonnar T* 35-70/3.4 CY</v>
      </c>
      <c r="C47" s="16" t="str">
        <f>CZ.V!C68</f>
        <v>35-70</v>
      </c>
      <c r="D47" s="18">
        <f>CZ.V!D68</f>
        <v>3.4</v>
      </c>
      <c r="E47" s="16" t="str">
        <f>CZ.V!E68</f>
        <v>56-112</v>
      </c>
      <c r="F47" s="85" t="str">
        <f>CZ.V!F68</f>
        <v>CY</v>
      </c>
      <c r="G47" s="58">
        <f>CZ.V!G68</f>
        <v>0.25</v>
      </c>
      <c r="H47" s="53">
        <f>CZ.V!H68</f>
        <v>0.47499999999999998</v>
      </c>
      <c r="I47" s="16">
        <f>CZ.V!I68</f>
        <v>80.5</v>
      </c>
      <c r="J47" s="16">
        <f>CZ.V!J68</f>
        <v>70</v>
      </c>
      <c r="K47" s="31">
        <f>CZ.V!K68</f>
        <v>67</v>
      </c>
      <c r="L47" s="16">
        <f>CZ.V!L68</f>
        <v>327</v>
      </c>
      <c r="M47" s="31" t="str">
        <f>CZ.V!M68</f>
        <v>.16-04</v>
      </c>
      <c r="N47" s="16">
        <f>CZ.V!N68</f>
        <v>451.66666666666669</v>
      </c>
      <c r="O47" s="16" t="str">
        <f>CZ.V!O68</f>
        <v>.16-05</v>
      </c>
      <c r="P47" s="25">
        <f>CZ.V!P68</f>
        <v>550</v>
      </c>
      <c r="Q47" s="16" t="str">
        <f>CZ.V!Q68</f>
        <v>.14-08</v>
      </c>
      <c r="R47" s="31" t="str">
        <f>CZ.V!R68</f>
        <v>keh</v>
      </c>
      <c r="S47" s="25">
        <f>CZ.V!S68</f>
        <v>665</v>
      </c>
      <c r="T47" s="16" t="str">
        <f>CZ.V!T68</f>
        <v>.13-04</v>
      </c>
      <c r="U47" s="31" t="str">
        <f>CZ.V!U68</f>
        <v>keh</v>
      </c>
    </row>
    <row r="48" spans="1:21">
      <c r="A48" s="143" t="str">
        <f>LNOP!A93</f>
        <v>Olympus</v>
      </c>
      <c r="B48" s="143" t="str">
        <f>LNOP!B93</f>
        <v>Zuiko 35-70/3.6 Auto-Zoom</v>
      </c>
      <c r="C48" s="16" t="str">
        <f>LNOP!C93</f>
        <v>35-70</v>
      </c>
      <c r="D48" s="18">
        <f>LNOP!D93</f>
        <v>3.6</v>
      </c>
      <c r="E48" s="16" t="str">
        <f>LNOP!E93</f>
        <v xml:space="preserve"> </v>
      </c>
      <c r="F48" s="85" t="str">
        <f>LNOP!F93</f>
        <v>OM</v>
      </c>
      <c r="G48" s="58">
        <f>LNOP!G93</f>
        <v>0.8</v>
      </c>
      <c r="H48" s="53">
        <f>LNOP!H93</f>
        <v>0.4</v>
      </c>
      <c r="I48" s="16">
        <f>LNOP!I93</f>
        <v>74</v>
      </c>
      <c r="J48" s="16">
        <f>LNOP!J93</f>
        <v>67</v>
      </c>
      <c r="K48" s="31">
        <f>LNOP!K93</f>
        <v>55</v>
      </c>
      <c r="L48" s="16">
        <f>LNOP!L93</f>
        <v>52</v>
      </c>
      <c r="M48" s="31" t="str">
        <f>LNOP!M93</f>
        <v>.16-04</v>
      </c>
      <c r="N48" s="16">
        <f>LNOP!N93</f>
        <v>186</v>
      </c>
      <c r="O48" s="16" t="str">
        <f>LNOP!O93</f>
        <v>.16-05</v>
      </c>
      <c r="P48" s="25" t="str">
        <f>LNOP!P93</f>
        <v xml:space="preserve"> </v>
      </c>
      <c r="Q48" s="16" t="str">
        <f>LNOP!Q93</f>
        <v xml:space="preserve"> </v>
      </c>
      <c r="R48" s="31" t="str">
        <f>LNOP!R93</f>
        <v xml:space="preserve"> </v>
      </c>
      <c r="S48" s="25" t="str">
        <f>LNOP!S93</f>
        <v xml:space="preserve"> </v>
      </c>
      <c r="T48" s="16" t="str">
        <f>LNOP!T93</f>
        <v xml:space="preserve"> </v>
      </c>
      <c r="U48" s="31" t="str">
        <f>LNOP!U93</f>
        <v xml:space="preserve"> </v>
      </c>
    </row>
    <row r="49" spans="1:21">
      <c r="A49" s="143" t="str">
        <f>LNOP!A94</f>
        <v>Olympus</v>
      </c>
      <c r="B49" s="143" t="str">
        <f>LNOP!B94</f>
        <v>Zuiko Zoom 35-80/2.8 (ED)</v>
      </c>
      <c r="C49" s="16" t="str">
        <f>LNOP!C94</f>
        <v>35-80</v>
      </c>
      <c r="D49" s="18">
        <f>LNOP!D94</f>
        <v>2.8</v>
      </c>
      <c r="E49" s="16" t="str">
        <f>LNOP!E94</f>
        <v>56-128</v>
      </c>
      <c r="F49" s="85" t="str">
        <f>LNOP!F94</f>
        <v>OM</v>
      </c>
      <c r="G49" s="58">
        <f>LNOP!G94</f>
        <v>0.6</v>
      </c>
      <c r="H49" s="53">
        <f>LNOP!H94</f>
        <v>0.65</v>
      </c>
      <c r="I49" s="16">
        <f>LNOP!I94</f>
        <v>99</v>
      </c>
      <c r="J49" s="16">
        <f>LNOP!J94</f>
        <v>69</v>
      </c>
      <c r="K49" s="31">
        <f>LNOP!K94</f>
        <v>62</v>
      </c>
      <c r="L49" s="16">
        <f>LNOP!L94</f>
        <v>730.75</v>
      </c>
      <c r="M49" s="31" t="str">
        <f>LNOP!M94</f>
        <v>.16-03</v>
      </c>
      <c r="N49" s="16">
        <f>LNOP!N94</f>
        <v>969.8</v>
      </c>
      <c r="O49" s="16" t="str">
        <f>LNOP!O94</f>
        <v>.16-04</v>
      </c>
      <c r="P49" s="25">
        <f>LNOP!P94</f>
        <v>1080</v>
      </c>
      <c r="Q49" s="16" t="str">
        <f>LNOP!Q94</f>
        <v>.13-04</v>
      </c>
      <c r="R49" s="31" t="str">
        <f>LNOP!R94</f>
        <v>keh</v>
      </c>
      <c r="S49" s="25">
        <f>LNOP!S94</f>
        <v>1600</v>
      </c>
      <c r="T49" s="16" t="str">
        <f>LNOP!T94</f>
        <v>.13-04</v>
      </c>
      <c r="U49" s="31" t="str">
        <f>LNOP!U94</f>
        <v>kevin</v>
      </c>
    </row>
    <row r="50" spans="1:21">
      <c r="A50" s="143" t="str">
        <f>STT!A73</f>
        <v>Tamron</v>
      </c>
      <c r="B50" s="143" t="str">
        <f>STT!B73</f>
        <v xml:space="preserve">SP 35-80/2.8-3.5 MF </v>
      </c>
      <c r="C50" s="16" t="str">
        <f>STT!C73</f>
        <v>35-80</v>
      </c>
      <c r="D50" s="18" t="str">
        <f>STT!D73</f>
        <v>2.8-3.5</v>
      </c>
      <c r="E50" s="16" t="str">
        <f>STT!E73</f>
        <v>56-128</v>
      </c>
      <c r="F50" s="85" t="str">
        <f>STT!F73</f>
        <v>A2</v>
      </c>
      <c r="G50" s="58">
        <f>STT!G73</f>
        <v>0.27</v>
      </c>
      <c r="H50" s="53">
        <f>STT!H73</f>
        <v>0.46</v>
      </c>
      <c r="I50" s="16">
        <f>STT!I73</f>
        <v>78.5</v>
      </c>
      <c r="J50" s="16">
        <f>STT!J73</f>
        <v>65</v>
      </c>
      <c r="K50" s="31">
        <f>STT!K73</f>
        <v>62</v>
      </c>
      <c r="L50" s="16">
        <f>STT!L73</f>
        <v>44.222222222222221</v>
      </c>
      <c r="M50" s="31" t="str">
        <f>STT!M73</f>
        <v>.16-05</v>
      </c>
      <c r="N50" s="16">
        <f>STT!N73</f>
        <v>122.5</v>
      </c>
      <c r="O50" s="16" t="str">
        <f>STT!O73</f>
        <v>.16-05</v>
      </c>
      <c r="P50" s="25">
        <f>STT!P73</f>
        <v>70</v>
      </c>
      <c r="Q50" s="16" t="str">
        <f>STT!Q73</f>
        <v>.16-01</v>
      </c>
      <c r="R50" s="31" t="str">
        <f>STT!R73</f>
        <v>b&amp;h</v>
      </c>
      <c r="S50" s="25" t="str">
        <f>STT!S73</f>
        <v xml:space="preserve"> </v>
      </c>
      <c r="T50" s="16" t="str">
        <f>STT!T73</f>
        <v xml:space="preserve"> </v>
      </c>
      <c r="U50" s="31" t="str">
        <f>STT!U73</f>
        <v xml:space="preserve"> </v>
      </c>
    </row>
    <row r="51" spans="1:21">
      <c r="A51" s="143" t="str">
        <f>CZ.V!A69</f>
        <v>Carl Zeiss</v>
      </c>
      <c r="B51" s="143" t="str">
        <f>CZ.V!B69</f>
        <v>vSonnar T* 35-135/3.3-4.5  CY</v>
      </c>
      <c r="C51" s="16" t="str">
        <f>CZ.V!C69</f>
        <v>35-135</v>
      </c>
      <c r="D51" s="18" t="str">
        <f>CZ.V!D69</f>
        <v>3.3-4</v>
      </c>
      <c r="E51" s="16" t="str">
        <f>CZ.V!E69</f>
        <v>56-215</v>
      </c>
      <c r="F51" s="85" t="str">
        <f>CZ.V!F69</f>
        <v>CY</v>
      </c>
      <c r="G51" s="58">
        <f>CZ.V!G69</f>
        <v>0.26</v>
      </c>
      <c r="H51" s="53">
        <f>CZ.V!H69</f>
        <v>0.73499999999999999</v>
      </c>
      <c r="I51" s="16">
        <f>CZ.V!I69</f>
        <v>107</v>
      </c>
      <c r="J51" s="16">
        <f>CZ.V!J69</f>
        <v>85</v>
      </c>
      <c r="K51" s="31">
        <f>CZ.V!K69</f>
        <v>82</v>
      </c>
      <c r="L51" s="16">
        <f>CZ.V!L69</f>
        <v>724.28571428571433</v>
      </c>
      <c r="M51" s="31" t="str">
        <f>CZ.V!M69</f>
        <v>.16-05</v>
      </c>
      <c r="N51" s="16">
        <f>CZ.V!N69</f>
        <v>883.88888888888891</v>
      </c>
      <c r="O51" s="16" t="str">
        <f>CZ.V!O69</f>
        <v>.16-03</v>
      </c>
      <c r="P51" s="25">
        <f>CZ.V!P69</f>
        <v>850</v>
      </c>
      <c r="Q51" s="16" t="str">
        <f>CZ.V!Q69</f>
        <v>.16-03</v>
      </c>
      <c r="R51" s="31" t="str">
        <f>CZ.V!R69</f>
        <v>keh</v>
      </c>
      <c r="S51" s="25">
        <f>CZ.V!S69</f>
        <v>1400</v>
      </c>
      <c r="T51" s="16" t="str">
        <f>CZ.V!T69</f>
        <v>.15-01</v>
      </c>
      <c r="U51" s="31" t="str">
        <f>CZ.V!U69</f>
        <v>kevin</v>
      </c>
    </row>
    <row r="52" spans="1:21">
      <c r="A52" s="144" t="str">
        <f>EFz!A29</f>
        <v>Canon</v>
      </c>
      <c r="B52" s="144" t="str">
        <f>EFz!B29</f>
        <v xml:space="preserve">EF 35-350/3.5-5.6 L USM </v>
      </c>
      <c r="C52" s="27" t="str">
        <f>EFz!C29</f>
        <v>35-350</v>
      </c>
      <c r="D52" s="41" t="str">
        <f>EFz!D29</f>
        <v>3.5-5.6</v>
      </c>
      <c r="E52" s="27" t="str">
        <f>EFz!E29</f>
        <v>56-560</v>
      </c>
      <c r="F52" s="86" t="str">
        <f>EFz!F29</f>
        <v>EF</v>
      </c>
      <c r="G52" s="55">
        <f>EFz!G29</f>
        <v>0.6</v>
      </c>
      <c r="H52" s="56">
        <f>EFz!H29</f>
        <v>1.385</v>
      </c>
      <c r="I52" s="27">
        <f>EFz!I29</f>
        <v>167.4</v>
      </c>
      <c r="J52" s="27">
        <f>EFz!J29</f>
        <v>85</v>
      </c>
      <c r="K52" s="33">
        <f>EFz!K29</f>
        <v>72</v>
      </c>
      <c r="L52" s="27">
        <f>EFz!L29</f>
        <v>741.90909090909088</v>
      </c>
      <c r="M52" s="33" t="str">
        <f>EFz!M29</f>
        <v>.16-05</v>
      </c>
      <c r="N52" s="27">
        <f>EFz!N29</f>
        <v>1012.2</v>
      </c>
      <c r="O52" s="27" t="str">
        <f>EFz!O29</f>
        <v>.16-01</v>
      </c>
      <c r="P52" s="26">
        <f>EFz!P29</f>
        <v>1120</v>
      </c>
      <c r="Q52" s="27" t="str">
        <f>EFz!Q29</f>
        <v>.16-01</v>
      </c>
      <c r="R52" s="33" t="str">
        <f>EFz!R29</f>
        <v>keh</v>
      </c>
      <c r="S52" s="26">
        <f>EFz!S29</f>
        <v>1245</v>
      </c>
      <c r="T52" s="27" t="str">
        <f>EFz!T29</f>
        <v>.12-12</v>
      </c>
      <c r="U52" s="33" t="str">
        <f>EFz!U29</f>
        <v>igor</v>
      </c>
    </row>
    <row r="53" spans="1:21">
      <c r="A53" s="144" t="str">
        <f>CZ.V!A70</f>
        <v>Carl Zeiss</v>
      </c>
      <c r="B53" s="144" t="str">
        <f>CZ.V!B70</f>
        <v>vSonnar T* 40-80/3.5  CY</v>
      </c>
      <c r="C53" s="27" t="str">
        <f>CZ.V!C70</f>
        <v>40-80</v>
      </c>
      <c r="D53" s="41">
        <f>CZ.V!D70</f>
        <v>3.5</v>
      </c>
      <c r="E53" s="27" t="str">
        <f>CZ.V!E70</f>
        <v>64-128</v>
      </c>
      <c r="F53" s="86" t="str">
        <f>CZ.V!F70</f>
        <v>CY</v>
      </c>
      <c r="G53" s="55">
        <f>CZ.V!G70</f>
        <v>1.2</v>
      </c>
      <c r="H53" s="56">
        <f>CZ.V!H70</f>
        <v>0.66</v>
      </c>
      <c r="I53" s="27">
        <f>CZ.V!I70</f>
        <v>87</v>
      </c>
      <c r="J53" s="27">
        <f>CZ.V!J70</f>
        <v>67</v>
      </c>
      <c r="K53" s="33">
        <f>CZ.V!K70</f>
        <v>55</v>
      </c>
      <c r="L53" s="27">
        <f>CZ.V!L70</f>
        <v>196</v>
      </c>
      <c r="M53" s="33" t="str">
        <f>CZ.V!M70</f>
        <v>.16-01</v>
      </c>
      <c r="N53" s="27">
        <f>CZ.V!N70</f>
        <v>196</v>
      </c>
      <c r="O53" s="27" t="str">
        <f>CZ.V!O70</f>
        <v>.16-05</v>
      </c>
      <c r="P53" s="26">
        <f>CZ.V!P70</f>
        <v>290</v>
      </c>
      <c r="Q53" s="27" t="str">
        <f>CZ.V!Q70</f>
        <v>.14-08</v>
      </c>
      <c r="R53" s="33" t="str">
        <f>CZ.V!R70</f>
        <v>keh</v>
      </c>
      <c r="S53" s="26">
        <f>CZ.V!S70</f>
        <v>400</v>
      </c>
      <c r="T53" s="27" t="str">
        <f>CZ.V!T70</f>
        <v>.13-04</v>
      </c>
      <c r="U53" s="33" t="str">
        <f>CZ.V!U70</f>
        <v>kevin</v>
      </c>
    </row>
    <row r="54" spans="1:21">
      <c r="A54" s="143" t="str">
        <f>EFz!A30</f>
        <v>Canon</v>
      </c>
      <c r="B54" s="143" t="str">
        <f>EFz!B30</f>
        <v xml:space="preserve">EF 50-200/3.5-4.5 L </v>
      </c>
      <c r="C54" s="16" t="str">
        <f>EFz!C30</f>
        <v>50-200</v>
      </c>
      <c r="D54" s="18" t="str">
        <f>EFz!D30</f>
        <v>3.5-4.5</v>
      </c>
      <c r="E54" s="16" t="str">
        <f>EFz!E30</f>
        <v>80-320</v>
      </c>
      <c r="F54" s="85" t="str">
        <f>EFz!F30</f>
        <v>EF</v>
      </c>
      <c r="G54" s="58">
        <f>EFz!G30</f>
        <v>1.2</v>
      </c>
      <c r="H54" s="53">
        <f>EFz!H30</f>
        <v>0.69499999999999995</v>
      </c>
      <c r="I54" s="16">
        <f>EFz!I30</f>
        <v>145.80000000000001</v>
      </c>
      <c r="J54" s="16">
        <f>EFz!J30</f>
        <v>75.599999999999994</v>
      </c>
      <c r="K54" s="31">
        <f>EFz!K30</f>
        <v>58</v>
      </c>
      <c r="L54" s="16">
        <f>EFz!L30</f>
        <v>349.75</v>
      </c>
      <c r="M54" s="31" t="str">
        <f>EFz!M30</f>
        <v>.16-03</v>
      </c>
      <c r="N54" s="16">
        <f>EFz!N30</f>
        <v>493.85714285714283</v>
      </c>
      <c r="O54" s="16" t="str">
        <f>EFz!O30</f>
        <v>.14-01</v>
      </c>
      <c r="P54" s="25">
        <f>EFz!P30</f>
        <v>484</v>
      </c>
      <c r="Q54" s="16" t="str">
        <f>EFz!Q30</f>
        <v>.09-02</v>
      </c>
      <c r="R54" s="31" t="str">
        <f>EFz!R30</f>
        <v>keh</v>
      </c>
      <c r="S54" s="25">
        <f>EFz!S30</f>
        <v>500</v>
      </c>
      <c r="T54" s="16" t="str">
        <f>EFz!T30</f>
        <v>.09-02</v>
      </c>
      <c r="U54" s="31" t="str">
        <f>EFz!U30</f>
        <v>keh</v>
      </c>
    </row>
    <row r="55" spans="1:21">
      <c r="A55" s="143" t="str">
        <f>STT!A33</f>
        <v>Sigma</v>
      </c>
      <c r="B55" s="143" t="str">
        <f>STT!B33</f>
        <v>EX 50-500/4-5.6 APO</v>
      </c>
      <c r="C55" s="16" t="str">
        <f>STT!C33</f>
        <v>50-500</v>
      </c>
      <c r="D55" s="18" t="str">
        <f>STT!D33</f>
        <v>4-6.5</v>
      </c>
      <c r="E55" s="16" t="str">
        <f>STT!E33</f>
        <v>80-800</v>
      </c>
      <c r="F55" s="85" t="str">
        <f>STT!F33</f>
        <v>EF</v>
      </c>
      <c r="G55" s="58" t="str">
        <f>STT!G33</f>
        <v>1-3</v>
      </c>
      <c r="H55" s="53">
        <f>STT!H33</f>
        <v>1.65</v>
      </c>
      <c r="I55" s="16">
        <f>STT!I33</f>
        <v>218</v>
      </c>
      <c r="J55" s="16">
        <f>STT!J33</f>
        <v>94</v>
      </c>
      <c r="K55" s="31" t="str">
        <f>STT!K33</f>
        <v>86c</v>
      </c>
      <c r="L55" s="16">
        <f>STT!L33</f>
        <v>582</v>
      </c>
      <c r="M55" s="31" t="str">
        <f>STT!M33</f>
        <v>.15-08</v>
      </c>
      <c r="N55" s="16">
        <f>STT!N33</f>
        <v>748</v>
      </c>
      <c r="O55" s="16" t="str">
        <f>STT!O33</f>
        <v>.15-03</v>
      </c>
      <c r="P55" s="25">
        <f>STT!P33</f>
        <v>550</v>
      </c>
      <c r="Q55" s="16" t="str">
        <f>STT!Q33</f>
        <v>.15-04</v>
      </c>
      <c r="R55" s="31" t="str">
        <f>STT!R33</f>
        <v>keh</v>
      </c>
      <c r="S55" s="25">
        <f>STT!S33</f>
        <v>695</v>
      </c>
      <c r="T55" s="16" t="str">
        <f>STT!T33</f>
        <v>.14-03</v>
      </c>
      <c r="U55" s="31" t="str">
        <f>STT!U33</f>
        <v>keh</v>
      </c>
    </row>
    <row r="56" spans="1:21">
      <c r="A56" s="144" t="str">
        <f>STT!A34</f>
        <v>Sigma</v>
      </c>
      <c r="B56" s="144" t="str">
        <f>STT!B34</f>
        <v>EX 50-500/4-5.6 APO OS</v>
      </c>
      <c r="C56" s="27" t="str">
        <f>STT!C34</f>
        <v>50-500</v>
      </c>
      <c r="D56" s="41" t="str">
        <f>STT!D34</f>
        <v>4-6.5</v>
      </c>
      <c r="E56" s="27" t="str">
        <f>STT!E34</f>
        <v>80-800</v>
      </c>
      <c r="F56" s="86" t="str">
        <f>STT!F34</f>
        <v>EF</v>
      </c>
      <c r="G56" s="55">
        <f>STT!G34</f>
        <v>0.5</v>
      </c>
      <c r="H56" s="56">
        <f>STT!H34</f>
        <v>1.96</v>
      </c>
      <c r="I56" s="27">
        <f>STT!I34</f>
        <v>218.4</v>
      </c>
      <c r="J56" s="27">
        <f>STT!J34</f>
        <v>104.1</v>
      </c>
      <c r="K56" s="33">
        <f>STT!K34</f>
        <v>95</v>
      </c>
      <c r="L56" s="27">
        <f>STT!L34</f>
        <v>889.85714285714289</v>
      </c>
      <c r="M56" s="33" t="str">
        <f>STT!M34</f>
        <v>.16-05</v>
      </c>
      <c r="N56" s="27">
        <f>STT!N34</f>
        <v>1062.6666666666667</v>
      </c>
      <c r="O56" s="27" t="str">
        <f>STT!O34</f>
        <v>.16-04</v>
      </c>
      <c r="P56" s="26">
        <f>STT!P34</f>
        <v>1010</v>
      </c>
      <c r="Q56" s="27" t="str">
        <f>STT!Q34</f>
        <v>.16-01</v>
      </c>
      <c r="R56" s="33" t="str">
        <f>STT!R34</f>
        <v>LA</v>
      </c>
      <c r="S56" s="26" t="str">
        <f>STT!S34</f>
        <v xml:space="preserve"> </v>
      </c>
      <c r="T56" s="27" t="str">
        <f>STT!T34</f>
        <v xml:space="preserve"> </v>
      </c>
      <c r="U56" s="33" t="str">
        <f>STT!U34</f>
        <v xml:space="preserve"> </v>
      </c>
    </row>
    <row r="57" spans="1:21">
      <c r="A57" s="143" t="str">
        <f>'645'!A28</f>
        <v>Mamiya</v>
      </c>
      <c r="B57" s="143" t="str">
        <f>'645'!B28</f>
        <v>Mamiya C 55-110/4.5 N</v>
      </c>
      <c r="C57" s="16" t="str">
        <f>'645'!C28</f>
        <v>55-110</v>
      </c>
      <c r="D57" s="18">
        <f>'645'!D28</f>
        <v>4.5</v>
      </c>
      <c r="E57" s="16" t="str">
        <f>'645'!E28</f>
        <v xml:space="preserve"> </v>
      </c>
      <c r="F57" s="85" t="str">
        <f>'645'!F28</f>
        <v>M645</v>
      </c>
      <c r="G57" s="58">
        <f>'645'!G28</f>
        <v>1.5</v>
      </c>
      <c r="H57" s="53">
        <f>'645'!H28</f>
        <v>0.8</v>
      </c>
      <c r="I57" s="16">
        <f>'645'!I28</f>
        <v>104</v>
      </c>
      <c r="J57" s="16" t="str">
        <f>'645'!J28</f>
        <v xml:space="preserve"> </v>
      </c>
      <c r="K57" s="31">
        <f>'645'!K28</f>
        <v>67</v>
      </c>
      <c r="L57" s="16">
        <f>'645'!L28</f>
        <v>127.77777777777777</v>
      </c>
      <c r="M57" s="31" t="str">
        <f>'645'!M28</f>
        <v>.16-05</v>
      </c>
      <c r="N57" s="16">
        <f>'645'!N28</f>
        <v>191</v>
      </c>
      <c r="O57" s="16" t="str">
        <f>'645'!O28</f>
        <v>.16-01</v>
      </c>
      <c r="P57" s="25">
        <f>'645'!P28</f>
        <v>165</v>
      </c>
      <c r="Q57" s="16" t="str">
        <f>'645'!Q28</f>
        <v>.15-04</v>
      </c>
      <c r="R57" s="31" t="str">
        <f>'645'!R28</f>
        <v>b&amp;h</v>
      </c>
      <c r="S57" s="25">
        <f>'645'!S28</f>
        <v>197</v>
      </c>
      <c r="T57" s="16" t="str">
        <f>'645'!T28</f>
        <v>.16-01</v>
      </c>
      <c r="U57" s="31" t="str">
        <f>'645'!U28</f>
        <v>b&amp;h</v>
      </c>
    </row>
    <row r="58" spans="1:21">
      <c r="A58" s="144" t="str">
        <f>STT!A74</f>
        <v>Tamron</v>
      </c>
      <c r="B58" s="144" t="str">
        <f>STT!B74</f>
        <v>SP 70-150/2.8 Soft [51A]</v>
      </c>
      <c r="C58" s="27" t="str">
        <f>STT!C74</f>
        <v>70-150</v>
      </c>
      <c r="D58" s="41">
        <f>STT!D74</f>
        <v>2.8</v>
      </c>
      <c r="E58" s="27" t="str">
        <f>STT!E74</f>
        <v>112-240</v>
      </c>
      <c r="F58" s="86" t="str">
        <f>STT!F74</f>
        <v>A2</v>
      </c>
      <c r="G58" s="55">
        <f>STT!G74</f>
        <v>0.98</v>
      </c>
      <c r="H58" s="56">
        <f>STT!H74</f>
        <v>0.76</v>
      </c>
      <c r="I58" s="27">
        <f>STT!I74</f>
        <v>147</v>
      </c>
      <c r="J58" s="27">
        <f>STT!J74</f>
        <v>67.5</v>
      </c>
      <c r="K58" s="33">
        <f>STT!K74</f>
        <v>62</v>
      </c>
      <c r="L58" s="27">
        <f>STT!L74</f>
        <v>493</v>
      </c>
      <c r="M58" s="33" t="str">
        <f>STT!M74</f>
        <v>.16-05</v>
      </c>
      <c r="N58" s="27">
        <f>STT!N74</f>
        <v>659.66666666666663</v>
      </c>
      <c r="O58" s="27" t="str">
        <f>STT!O74</f>
        <v>.16-05</v>
      </c>
      <c r="P58" s="26" t="str">
        <f>STT!P74</f>
        <v xml:space="preserve"> </v>
      </c>
      <c r="Q58" s="27" t="str">
        <f>STT!Q74</f>
        <v xml:space="preserve"> </v>
      </c>
      <c r="R58" s="33" t="str">
        <f>STT!R74</f>
        <v xml:space="preserve"> </v>
      </c>
      <c r="S58" s="26" t="str">
        <f>STT!S74</f>
        <v xml:space="preserve"> </v>
      </c>
      <c r="T58" s="27" t="str">
        <f>STT!T74</f>
        <v xml:space="preserve"> </v>
      </c>
      <c r="U58" s="33" t="str">
        <f>STT!U74</f>
        <v xml:space="preserve"> </v>
      </c>
    </row>
    <row r="59" spans="1:21">
      <c r="A59" s="143" t="str">
        <f>EFz!A19</f>
        <v>Canon</v>
      </c>
      <c r="B59" s="143" t="str">
        <f>EFz!B19</f>
        <v xml:space="preserve">EF 70-200/2.8 L USM </v>
      </c>
      <c r="C59" s="16" t="str">
        <f>EFz!C19</f>
        <v>70-200</v>
      </c>
      <c r="D59" s="18">
        <f>EFz!D19</f>
        <v>2.8</v>
      </c>
      <c r="E59" s="16" t="str">
        <f>EFz!E19</f>
        <v>110-320</v>
      </c>
      <c r="F59" s="85" t="str">
        <f>EFz!F19</f>
        <v>EF</v>
      </c>
      <c r="G59" s="58">
        <f>EFz!G19</f>
        <v>1.5</v>
      </c>
      <c r="H59" s="53">
        <f>EFz!H19</f>
        <v>1.31</v>
      </c>
      <c r="I59" s="16">
        <f>EFz!I19</f>
        <v>193.6</v>
      </c>
      <c r="J59" s="16">
        <f>EFz!J19</f>
        <v>84.6</v>
      </c>
      <c r="K59" s="31">
        <f>EFz!K19</f>
        <v>77</v>
      </c>
      <c r="L59" s="16">
        <f>EFz!L19</f>
        <v>793</v>
      </c>
      <c r="M59" s="31" t="str">
        <f>EFz!M19</f>
        <v>.16-05</v>
      </c>
      <c r="N59" s="16">
        <f>EFz!N19</f>
        <v>1033.5</v>
      </c>
      <c r="O59" s="16" t="str">
        <f>EFz!O19</f>
        <v>.16-05</v>
      </c>
      <c r="P59" s="25">
        <f>EFz!P19</f>
        <v>950</v>
      </c>
      <c r="Q59" s="16" t="str">
        <f>EFz!Q19</f>
        <v>.16-05</v>
      </c>
      <c r="R59" s="31" t="str">
        <f>EFz!R19</f>
        <v>kenmore</v>
      </c>
      <c r="S59" s="25">
        <f>EFz!S19</f>
        <v>1070</v>
      </c>
      <c r="T59" s="16" t="str">
        <f>EFz!T19</f>
        <v>.16-01</v>
      </c>
      <c r="U59" s="31" t="str">
        <f>EFz!U19</f>
        <v>ado</v>
      </c>
    </row>
    <row r="60" spans="1:21">
      <c r="A60" s="143" t="str">
        <f>EFz!A20</f>
        <v>Canon</v>
      </c>
      <c r="B60" s="143" t="str">
        <f>EFz!B20</f>
        <v xml:space="preserve">EF 70-200/2.8 L IS USM </v>
      </c>
      <c r="C60" s="16" t="str">
        <f>EFz!C20</f>
        <v>70-200</v>
      </c>
      <c r="D60" s="18">
        <f>EFz!D20</f>
        <v>2.8</v>
      </c>
      <c r="E60" s="16" t="str">
        <f>EFz!E20</f>
        <v>110-320</v>
      </c>
      <c r="F60" s="85" t="str">
        <f>EFz!F20</f>
        <v>EF</v>
      </c>
      <c r="G60" s="58">
        <f>EFz!G20</f>
        <v>1.4</v>
      </c>
      <c r="H60" s="53">
        <f>EFz!H20</f>
        <v>1.59</v>
      </c>
      <c r="I60" s="16">
        <f>EFz!I20</f>
        <v>197</v>
      </c>
      <c r="J60" s="16">
        <f>EFz!J20</f>
        <v>86.2</v>
      </c>
      <c r="K60" s="31">
        <f>EFz!K20</f>
        <v>77</v>
      </c>
      <c r="L60" s="16">
        <f>EFz!L20</f>
        <v>1018</v>
      </c>
      <c r="M60" s="31" t="str">
        <f>EFz!M20</f>
        <v>.16-05</v>
      </c>
      <c r="N60" s="16">
        <f>EFz!N20</f>
        <v>1224.9000000000001</v>
      </c>
      <c r="O60" s="16" t="str">
        <f>EFz!O20</f>
        <v>.16-05</v>
      </c>
      <c r="P60" s="25">
        <f>EFz!P20</f>
        <v>1300</v>
      </c>
      <c r="Q60" s="16" t="str">
        <f>EFz!Q20</f>
        <v>.16-01</v>
      </c>
      <c r="R60" s="31" t="str">
        <f>EFz!R20</f>
        <v>b&amp;h</v>
      </c>
      <c r="S60" s="25">
        <f>EFz!S20</f>
        <v>1480</v>
      </c>
      <c r="T60" s="16" t="str">
        <f>EFz!T20</f>
        <v>.16-01</v>
      </c>
      <c r="U60" s="31" t="str">
        <f>EFz!U20</f>
        <v>keh</v>
      </c>
    </row>
    <row r="61" spans="1:21">
      <c r="A61" s="143" t="str">
        <f>EFz!A21</f>
        <v>Canon</v>
      </c>
      <c r="B61" s="143" t="str">
        <f>EFz!B21</f>
        <v>EF 70-200/2.8 L IS II USM</v>
      </c>
      <c r="C61" s="16" t="str">
        <f>EFz!C21</f>
        <v>70-200</v>
      </c>
      <c r="D61" s="18">
        <f>EFz!D21</f>
        <v>2.8</v>
      </c>
      <c r="E61" s="16" t="str">
        <f>EFz!E21</f>
        <v>110-320</v>
      </c>
      <c r="F61" s="85" t="str">
        <f>EFz!F21</f>
        <v>EF</v>
      </c>
      <c r="G61" s="58">
        <f>EFz!G21</f>
        <v>1.2</v>
      </c>
      <c r="H61" s="53">
        <f>EFz!H21</f>
        <v>1.49</v>
      </c>
      <c r="I61" s="16">
        <f>EFz!I21</f>
        <v>199</v>
      </c>
      <c r="J61" s="16">
        <f>EFz!J21</f>
        <v>88.8</v>
      </c>
      <c r="K61" s="31">
        <f>EFz!K21</f>
        <v>77</v>
      </c>
      <c r="L61" s="16">
        <f>EFz!L21</f>
        <v>1443.4</v>
      </c>
      <c r="M61" s="31" t="str">
        <f>EFz!M21</f>
        <v>.16-05</v>
      </c>
      <c r="N61" s="16">
        <f>EFz!N21</f>
        <v>1636.4615384615386</v>
      </c>
      <c r="O61" s="16" t="str">
        <f>EFz!O21</f>
        <v>.16-05</v>
      </c>
      <c r="P61" s="25">
        <f>EFz!P21</f>
        <v>1700</v>
      </c>
      <c r="Q61" s="16" t="str">
        <f>EFz!Q21</f>
        <v>.16-01</v>
      </c>
      <c r="R61" s="31" t="str">
        <f>EFz!R21</f>
        <v>LA</v>
      </c>
      <c r="S61" s="25">
        <f>EFz!S21</f>
        <v>1900</v>
      </c>
      <c r="T61" s="16" t="str">
        <f>EFz!T21</f>
        <v>.16-01</v>
      </c>
      <c r="U61" s="31" t="str">
        <f>EFz!U21</f>
        <v>keh</v>
      </c>
    </row>
    <row r="62" spans="1:21">
      <c r="A62" s="143" t="str">
        <f>STT!A35</f>
        <v>Sigma</v>
      </c>
      <c r="B62" s="143" t="str">
        <f>STT!B35</f>
        <v xml:space="preserve">EX 70-200/2.8 APO </v>
      </c>
      <c r="C62" s="16" t="str">
        <f>STT!C35</f>
        <v>70-200</v>
      </c>
      <c r="D62" s="18">
        <f>STT!D35</f>
        <v>2.8</v>
      </c>
      <c r="E62" s="16" t="str">
        <f>STT!E35</f>
        <v>112-320</v>
      </c>
      <c r="F62" s="85" t="str">
        <f>STT!F35</f>
        <v>EF</v>
      </c>
      <c r="G62" s="58">
        <f>STT!G35</f>
        <v>1.8</v>
      </c>
      <c r="H62" s="53">
        <f>STT!H35</f>
        <v>1.39</v>
      </c>
      <c r="I62" s="16">
        <f>STT!I35</f>
        <v>180</v>
      </c>
      <c r="J62" s="16">
        <f>STT!J35</f>
        <v>86</v>
      </c>
      <c r="K62" s="31">
        <f>STT!K35</f>
        <v>77</v>
      </c>
      <c r="L62" s="16">
        <f>STT!L35</f>
        <v>461</v>
      </c>
      <c r="M62" s="31" t="str">
        <f>STT!M35</f>
        <v>.16-05</v>
      </c>
      <c r="N62" s="16">
        <f>STT!N35</f>
        <v>594.44444444444446</v>
      </c>
      <c r="O62" s="16" t="str">
        <f>STT!O35</f>
        <v>.16-05</v>
      </c>
      <c r="P62" s="25">
        <f>STT!P35</f>
        <v>610</v>
      </c>
      <c r="Q62" s="16" t="str">
        <f>STT!Q35</f>
        <v>.15-11</v>
      </c>
      <c r="R62" s="31" t="str">
        <f>STT!R35</f>
        <v>ado</v>
      </c>
      <c r="S62" s="25">
        <f>STT!S35</f>
        <v>725</v>
      </c>
      <c r="T62" s="16" t="str">
        <f>STT!T35</f>
        <v>.14-03</v>
      </c>
      <c r="U62" s="31" t="str">
        <f>STT!U35</f>
        <v>keh</v>
      </c>
    </row>
    <row r="63" spans="1:21">
      <c r="A63" s="143" t="str">
        <f>STT!A36</f>
        <v>Sigma</v>
      </c>
      <c r="B63" s="143" t="str">
        <f>STT!B36</f>
        <v>EX 70-200/2.8 APO OS</v>
      </c>
      <c r="C63" s="16" t="str">
        <f>STT!C36</f>
        <v>70-200</v>
      </c>
      <c r="D63" s="18">
        <f>STT!D36</f>
        <v>2.8</v>
      </c>
      <c r="E63" s="16" t="str">
        <f>STT!E36</f>
        <v>112-320</v>
      </c>
      <c r="F63" s="85" t="str">
        <f>STT!F36</f>
        <v>EF</v>
      </c>
      <c r="G63" s="58">
        <f>STT!G36</f>
        <v>1.4</v>
      </c>
      <c r="H63" s="53">
        <f>STT!H36</f>
        <v>1.43</v>
      </c>
      <c r="I63" s="16">
        <f>STT!I36</f>
        <v>197.6</v>
      </c>
      <c r="J63" s="16">
        <f>STT!J36</f>
        <v>86.4</v>
      </c>
      <c r="K63" s="31">
        <f>STT!K36</f>
        <v>77</v>
      </c>
      <c r="L63" s="16">
        <f>STT!L36</f>
        <v>790.4545454545455</v>
      </c>
      <c r="M63" s="31" t="str">
        <f>STT!M36</f>
        <v>.16-03</v>
      </c>
      <c r="N63" s="16">
        <f>STT!N36</f>
        <v>936.875</v>
      </c>
      <c r="O63" s="16" t="str">
        <f>STT!O36</f>
        <v>.15-11</v>
      </c>
      <c r="P63" s="25">
        <f>STT!P36</f>
        <v>960</v>
      </c>
      <c r="Q63" s="16" t="str">
        <f>STT!Q36</f>
        <v>.16-01</v>
      </c>
      <c r="R63" s="31" t="str">
        <f>STT!R36</f>
        <v>keh</v>
      </c>
      <c r="S63" s="25">
        <f>STT!S36</f>
        <v>1030</v>
      </c>
      <c r="T63" s="16" t="str">
        <f>STT!T36</f>
        <v>.14-08</v>
      </c>
      <c r="U63" s="31" t="str">
        <f>STT!U36</f>
        <v>LA</v>
      </c>
    </row>
    <row r="64" spans="1:21">
      <c r="A64" s="143" t="str">
        <f>STT!A75</f>
        <v>Tamron</v>
      </c>
      <c r="B64" s="143" t="str">
        <f>STT!B75</f>
        <v>SP 70-200/2.8 Di [A001]</v>
      </c>
      <c r="C64" s="16" t="str">
        <f>STT!C75</f>
        <v>70-200</v>
      </c>
      <c r="D64" s="18">
        <f>STT!D75</f>
        <v>2.8</v>
      </c>
      <c r="E64" s="16" t="str">
        <f>STT!E75</f>
        <v>112-320</v>
      </c>
      <c r="F64" s="85" t="str">
        <f>STT!F75</f>
        <v>EF</v>
      </c>
      <c r="G64" s="58">
        <f>STT!G75</f>
        <v>0.95</v>
      </c>
      <c r="H64" s="53">
        <f>STT!H75</f>
        <v>1.1499999999999999</v>
      </c>
      <c r="I64" s="16">
        <f>STT!I75</f>
        <v>194</v>
      </c>
      <c r="J64" s="16">
        <f>STT!J75</f>
        <v>90</v>
      </c>
      <c r="K64" s="31">
        <f>STT!K75</f>
        <v>77</v>
      </c>
      <c r="L64" s="16">
        <f>STT!L75</f>
        <v>453.8</v>
      </c>
      <c r="M64" s="31" t="str">
        <f>STT!M75</f>
        <v>.16-05</v>
      </c>
      <c r="N64" s="16">
        <f>STT!N75</f>
        <v>551.09090909090912</v>
      </c>
      <c r="O64" s="16" t="str">
        <f>STT!O75</f>
        <v>.16-05</v>
      </c>
      <c r="P64" s="25">
        <f>STT!P75</f>
        <v>540</v>
      </c>
      <c r="Q64" s="16" t="str">
        <f>STT!Q75</f>
        <v>.16-01</v>
      </c>
      <c r="R64" s="31" t="str">
        <f>STT!R75</f>
        <v>ado</v>
      </c>
      <c r="S64" s="25">
        <f>STT!S75</f>
        <v>710</v>
      </c>
      <c r="T64" s="16" t="str">
        <f>STT!T75</f>
        <v>.13-02</v>
      </c>
      <c r="U64" s="31" t="str">
        <f>STT!U75</f>
        <v>ado</v>
      </c>
    </row>
    <row r="65" spans="1:21">
      <c r="A65" s="143" t="str">
        <f>STT!A76</f>
        <v>Tamron</v>
      </c>
      <c r="B65" s="143" t="str">
        <f>STT!B76</f>
        <v>SP 70-200/2.8 Di VC [A009]</v>
      </c>
      <c r="C65" s="16" t="str">
        <f>STT!C76</f>
        <v>70-200</v>
      </c>
      <c r="D65" s="18">
        <f>STT!D76</f>
        <v>2.8</v>
      </c>
      <c r="E65" s="16" t="str">
        <f>STT!E76</f>
        <v>112-320</v>
      </c>
      <c r="F65" s="85" t="str">
        <f>STT!F76</f>
        <v>EF</v>
      </c>
      <c r="G65" s="58">
        <f>STT!G76</f>
        <v>1.3</v>
      </c>
      <c r="H65" s="53">
        <f>STT!H76</f>
        <v>1.47</v>
      </c>
      <c r="I65" s="16">
        <f>STT!I76</f>
        <v>196.7</v>
      </c>
      <c r="J65" s="16">
        <f>STT!J76</f>
        <v>85.8</v>
      </c>
      <c r="K65" s="31">
        <f>STT!K76</f>
        <v>77</v>
      </c>
      <c r="L65" s="16">
        <f>STT!L76</f>
        <v>862.125</v>
      </c>
      <c r="M65" s="31" t="str">
        <f>STT!M76</f>
        <v>.16-03</v>
      </c>
      <c r="N65" s="16">
        <f>STT!N76</f>
        <v>1050.25</v>
      </c>
      <c r="O65" s="16" t="str">
        <f>STT!O76</f>
        <v>.16-05</v>
      </c>
      <c r="P65" s="25">
        <f>STT!P76</f>
        <v>960</v>
      </c>
      <c r="Q65" s="16" t="str">
        <f>STT!Q76</f>
        <v>.16-01</v>
      </c>
      <c r="R65" s="31" t="str">
        <f>STT!R76</f>
        <v>keh</v>
      </c>
      <c r="S65" s="25">
        <f>STT!S76</f>
        <v>1220</v>
      </c>
      <c r="T65" s="16" t="str">
        <f>STT!T76</f>
        <v>.16-01</v>
      </c>
      <c r="U65" s="31" t="str">
        <f>STT!U76</f>
        <v>keh</v>
      </c>
    </row>
    <row r="66" spans="1:21">
      <c r="A66" s="143" t="str">
        <f>EFz!A22</f>
        <v>Canon</v>
      </c>
      <c r="B66" s="143" t="str">
        <f>EFz!B22</f>
        <v>EF 70-200/4 L USM</v>
      </c>
      <c r="C66" s="16" t="str">
        <f>EFz!C22</f>
        <v>70-200</v>
      </c>
      <c r="D66" s="18">
        <f>EFz!D22</f>
        <v>4</v>
      </c>
      <c r="E66" s="16" t="str">
        <f>EFz!E22</f>
        <v>110-320</v>
      </c>
      <c r="F66" s="85" t="str">
        <f>EFz!F22</f>
        <v>EF</v>
      </c>
      <c r="G66" s="58">
        <f>EFz!G22</f>
        <v>1.19</v>
      </c>
      <c r="H66" s="53">
        <f>EFz!H22</f>
        <v>0.71</v>
      </c>
      <c r="I66" s="16">
        <f>EFz!I22</f>
        <v>173</v>
      </c>
      <c r="J66" s="16">
        <f>EFz!J22</f>
        <v>77</v>
      </c>
      <c r="K66" s="31">
        <f>EFz!K22</f>
        <v>67</v>
      </c>
      <c r="L66" s="16">
        <f>EFz!L22</f>
        <v>397.2</v>
      </c>
      <c r="M66" s="31" t="str">
        <f>EFz!M22</f>
        <v>.16-05</v>
      </c>
      <c r="N66" s="16">
        <f>EFz!N22</f>
        <v>482.88888888888891</v>
      </c>
      <c r="O66" s="16" t="str">
        <f>EFz!O22</f>
        <v>.16-05</v>
      </c>
      <c r="P66" s="25">
        <f>EFz!P22</f>
        <v>470</v>
      </c>
      <c r="Q66" s="16" t="str">
        <f>EFz!Q22</f>
        <v>.16-01</v>
      </c>
      <c r="R66" s="31" t="str">
        <f>EFz!R22</f>
        <v>keh</v>
      </c>
      <c r="S66" s="25">
        <f>EFz!S22</f>
        <v>695</v>
      </c>
      <c r="T66" s="16" t="str">
        <f>EFz!T22</f>
        <v>.15-11</v>
      </c>
      <c r="U66" s="31" t="str">
        <f>EFz!U22</f>
        <v>igor</v>
      </c>
    </row>
    <row r="67" spans="1:21">
      <c r="A67" s="143" t="str">
        <f>EFz!A23</f>
        <v>Canon</v>
      </c>
      <c r="B67" s="143" t="str">
        <f>EFz!B23</f>
        <v>EF 70-200/4 L IS USM</v>
      </c>
      <c r="C67" s="16" t="str">
        <f>EFz!C23</f>
        <v>70-200</v>
      </c>
      <c r="D67" s="18">
        <f>EFz!D23</f>
        <v>4</v>
      </c>
      <c r="E67" s="16" t="str">
        <f>EFz!E23</f>
        <v>110-320</v>
      </c>
      <c r="F67" s="85" t="str">
        <f>EFz!F23</f>
        <v>EF</v>
      </c>
      <c r="G67" s="58">
        <f>EFz!G23</f>
        <v>1.2</v>
      </c>
      <c r="H67" s="53">
        <f>EFz!H23</f>
        <v>0.76</v>
      </c>
      <c r="I67" s="16">
        <f>EFz!I23</f>
        <v>172</v>
      </c>
      <c r="J67" s="16">
        <f>EFz!J23</f>
        <v>76</v>
      </c>
      <c r="K67" s="31">
        <f>EFz!K23</f>
        <v>67</v>
      </c>
      <c r="L67" s="16">
        <f>EFz!L23</f>
        <v>680.2</v>
      </c>
      <c r="M67" s="31" t="str">
        <f>EFz!M23</f>
        <v>.16-05</v>
      </c>
      <c r="N67" s="16">
        <f>EFz!N23</f>
        <v>840.33333333333337</v>
      </c>
      <c r="O67" s="16" t="str">
        <f>EFz!O23</f>
        <v>.16-05</v>
      </c>
      <c r="P67" s="25">
        <f>EFz!P23</f>
        <v>683.24</v>
      </c>
      <c r="Q67" s="16" t="str">
        <f>EFz!Q23</f>
        <v>.16-03</v>
      </c>
      <c r="R67" s="31" t="str">
        <f>EFz!R23</f>
        <v>ctc</v>
      </c>
      <c r="S67" s="25">
        <f>EFz!S23</f>
        <v>695</v>
      </c>
      <c r="T67" s="16" t="str">
        <f>EFz!T23</f>
        <v>.16-01</v>
      </c>
      <c r="U67" s="31" t="str">
        <f>EFz!U23</f>
        <v>igor</v>
      </c>
    </row>
    <row r="68" spans="1:21">
      <c r="A68" s="143" t="str">
        <f>CZ.V!A71</f>
        <v>Carl Zeiss</v>
      </c>
      <c r="B68" s="143" t="str">
        <f>CZ.V!B71</f>
        <v>vSonnar T* 70-210mm f/3.5 CY</v>
      </c>
      <c r="C68" s="16" t="str">
        <f>CZ.V!C71</f>
        <v>70-210</v>
      </c>
      <c r="D68" s="18">
        <f>CZ.V!D71</f>
        <v>3.5</v>
      </c>
      <c r="E68" s="16" t="str">
        <f>CZ.V!E71</f>
        <v>112-336</v>
      </c>
      <c r="F68" s="85" t="str">
        <f>CZ.V!F71</f>
        <v>CY</v>
      </c>
      <c r="G68" s="58">
        <f>CZ.V!G71</f>
        <v>1.8</v>
      </c>
      <c r="H68" s="53">
        <f>CZ.V!H71</f>
        <v>1.145</v>
      </c>
      <c r="I68" s="16">
        <f>CZ.V!I71</f>
        <v>186</v>
      </c>
      <c r="J68" s="16">
        <f>CZ.V!J71</f>
        <v>77</v>
      </c>
      <c r="K68" s="31">
        <f>CZ.V!K71</f>
        <v>67</v>
      </c>
      <c r="L68" s="16">
        <f>CZ.V!L71</f>
        <v>819.11111111111109</v>
      </c>
      <c r="M68" s="31" t="str">
        <f>CZ.V!M71</f>
        <v>.16-01</v>
      </c>
      <c r="N68" s="16">
        <f>CZ.V!N71</f>
        <v>1197.5</v>
      </c>
      <c r="O68" s="16" t="str">
        <f>CZ.V!O71</f>
        <v>.15-04</v>
      </c>
      <c r="P68" s="25">
        <f>CZ.V!P71</f>
        <v>1080</v>
      </c>
      <c r="Q68" s="16" t="str">
        <f>CZ.V!Q71</f>
        <v>.16-01</v>
      </c>
      <c r="R68" s="31" t="str">
        <f>CZ.V!R71</f>
        <v>keh</v>
      </c>
      <c r="S68" s="25">
        <f>CZ.V!S71</f>
        <v>1500</v>
      </c>
      <c r="T68" s="16" t="str">
        <f>CZ.V!T71</f>
        <v>.14-08</v>
      </c>
      <c r="U68" s="31" t="str">
        <f>CZ.V!U71</f>
        <v>b&amp;h</v>
      </c>
    </row>
    <row r="69" spans="1:21">
      <c r="A69" s="143" t="str">
        <f>EFz!A38</f>
        <v>Canon</v>
      </c>
      <c r="B69" s="143" t="str">
        <f>EFz!B38</f>
        <v xml:space="preserve">EF 70-300/4.5-5.6 DO IS USM </v>
      </c>
      <c r="C69" s="16" t="str">
        <f>EFz!C38</f>
        <v>70-300</v>
      </c>
      <c r="D69" s="18" t="str">
        <f>EFz!D38</f>
        <v>4.5-5.6</v>
      </c>
      <c r="E69" s="16" t="str">
        <f>EFz!E38</f>
        <v>110-420</v>
      </c>
      <c r="F69" s="85" t="str">
        <f>EFz!F38</f>
        <v>EF</v>
      </c>
      <c r="G69" s="58">
        <f>EFz!G38</f>
        <v>1.4</v>
      </c>
      <c r="H69" s="53">
        <f>EFz!H38</f>
        <v>0.72</v>
      </c>
      <c r="I69" s="16">
        <f>EFz!I38</f>
        <v>99.9</v>
      </c>
      <c r="J69" s="16">
        <f>EFz!J38</f>
        <v>82.4</v>
      </c>
      <c r="K69" s="31">
        <f>EFz!K38</f>
        <v>58</v>
      </c>
      <c r="L69" s="16">
        <f>EFz!L38</f>
        <v>374.77777777777777</v>
      </c>
      <c r="M69" s="31" t="str">
        <f>EFz!M38</f>
        <v>.16-05</v>
      </c>
      <c r="N69" s="16">
        <f>EFz!N38</f>
        <v>472.375</v>
      </c>
      <c r="O69" s="16" t="str">
        <f>EFz!O38</f>
        <v>.16-04</v>
      </c>
      <c r="P69" s="25">
        <f>EFz!P38</f>
        <v>525</v>
      </c>
      <c r="Q69" s="16" t="str">
        <f>EFz!Q38</f>
        <v>.16-01</v>
      </c>
      <c r="R69" s="31" t="str">
        <f>EFz!R38</f>
        <v>ado</v>
      </c>
      <c r="S69" s="25">
        <f>EFz!S38</f>
        <v>600</v>
      </c>
      <c r="T69" s="16" t="str">
        <f>EFz!T38</f>
        <v>.16-01</v>
      </c>
      <c r="U69" s="31" t="str">
        <f>EFz!U38</f>
        <v>b&amp;h</v>
      </c>
    </row>
    <row r="70" spans="1:21">
      <c r="A70" s="143" t="str">
        <f>EFz!A31</f>
        <v>Canon</v>
      </c>
      <c r="B70" s="143" t="str">
        <f>EFz!B31</f>
        <v xml:space="preserve">EF 70-300/4-5.6L IS USM </v>
      </c>
      <c r="C70" s="16" t="str">
        <f>EFz!C31</f>
        <v>70-300</v>
      </c>
      <c r="D70" s="18" t="str">
        <f>EFz!D31</f>
        <v>4-5.6</v>
      </c>
      <c r="E70" s="16" t="str">
        <f>EFz!E31</f>
        <v>110-420</v>
      </c>
      <c r="F70" s="85" t="str">
        <f>EFz!F31</f>
        <v>EF</v>
      </c>
      <c r="G70" s="58">
        <f>EFz!G31</f>
        <v>1.2</v>
      </c>
      <c r="H70" s="53">
        <f>EFz!H31</f>
        <v>1.05</v>
      </c>
      <c r="I70" s="16">
        <f>EFz!I31</f>
        <v>143</v>
      </c>
      <c r="J70" s="16">
        <f>EFz!J31</f>
        <v>89</v>
      </c>
      <c r="K70" s="31">
        <f>EFz!K31</f>
        <v>67</v>
      </c>
      <c r="L70" s="16">
        <f>EFz!L31</f>
        <v>769.72727272727275</v>
      </c>
      <c r="M70" s="31" t="str">
        <f>EFz!M31</f>
        <v>.16-04</v>
      </c>
      <c r="N70" s="16">
        <f>EFz!N31</f>
        <v>947.11111111111109</v>
      </c>
      <c r="O70" s="16" t="str">
        <f>EFz!O31</f>
        <v>.16-05</v>
      </c>
      <c r="P70" s="25">
        <f>EFz!P31</f>
        <v>930</v>
      </c>
      <c r="Q70" s="16" t="str">
        <f>EFz!Q31</f>
        <v>.16-01</v>
      </c>
      <c r="R70" s="31" t="str">
        <f>EFz!R31</f>
        <v>LA</v>
      </c>
      <c r="S70" s="25">
        <f>EFz!S31</f>
        <v>1080</v>
      </c>
      <c r="T70" s="16" t="str">
        <f>EFz!T31</f>
        <v>.16-01</v>
      </c>
      <c r="U70" s="31" t="str">
        <f>EFz!U31</f>
        <v>keh</v>
      </c>
    </row>
    <row r="71" spans="1:21">
      <c r="A71" s="143" t="str">
        <f>EFz!A37</f>
        <v>Canon</v>
      </c>
      <c r="B71" s="143" t="str">
        <f>EFz!B37</f>
        <v xml:space="preserve">EF 70-300/4-5.6 IS USM </v>
      </c>
      <c r="C71" s="16" t="str">
        <f>EFz!C37</f>
        <v>70-300</v>
      </c>
      <c r="D71" s="18" t="str">
        <f>EFz!D37</f>
        <v>4-5.6</v>
      </c>
      <c r="E71" s="16" t="str">
        <f>EFz!E37</f>
        <v>110-420</v>
      </c>
      <c r="F71" s="85" t="str">
        <f>EFz!F37</f>
        <v>EF</v>
      </c>
      <c r="G71" s="58">
        <f>EFz!G37</f>
        <v>1.5</v>
      </c>
      <c r="H71" s="53">
        <f>EFz!H37</f>
        <v>0.63</v>
      </c>
      <c r="I71" s="16">
        <f>EFz!I37</f>
        <v>143</v>
      </c>
      <c r="J71" s="16">
        <f>EFz!J37</f>
        <v>76</v>
      </c>
      <c r="K71" s="31">
        <f>EFz!K37</f>
        <v>58</v>
      </c>
      <c r="L71" s="16">
        <f>EFz!L37</f>
        <v>217.66666666666666</v>
      </c>
      <c r="M71" s="31" t="str">
        <f>EFz!M37</f>
        <v>.16-05</v>
      </c>
      <c r="N71" s="16">
        <f>EFz!N37</f>
        <v>272.25</v>
      </c>
      <c r="O71" s="16" t="str">
        <f>EFz!O37</f>
        <v>.16-05</v>
      </c>
      <c r="P71" s="25">
        <f>EFz!P37</f>
        <v>270</v>
      </c>
      <c r="Q71" s="16" t="str">
        <f>EFz!Q37</f>
        <v>.16-01</v>
      </c>
      <c r="R71" s="31" t="str">
        <f>EFz!R37</f>
        <v>ado</v>
      </c>
      <c r="S71" s="25">
        <f>EFz!S37</f>
        <v>342</v>
      </c>
      <c r="T71" s="16" t="str">
        <f>EFz!T37</f>
        <v>.16-05</v>
      </c>
      <c r="U71" s="31" t="str">
        <f>EFz!U37</f>
        <v>d'town</v>
      </c>
    </row>
    <row r="72" spans="1:21">
      <c r="A72" s="143" t="str">
        <f>STT!A77</f>
        <v>Tamron</v>
      </c>
      <c r="B72" s="143" t="str">
        <f>STT!B77</f>
        <v>SP 70-300/4-5.6 VC</v>
      </c>
      <c r="C72" s="16" t="str">
        <f>STT!C77</f>
        <v>70-300</v>
      </c>
      <c r="D72" s="18" t="str">
        <f>STT!D77</f>
        <v>4-5.6</v>
      </c>
      <c r="E72" s="16" t="str">
        <f>STT!E77</f>
        <v>112-480</v>
      </c>
      <c r="F72" s="85" t="str">
        <f>STT!F77</f>
        <v>EF</v>
      </c>
      <c r="G72" s="58">
        <f>STT!G77</f>
        <v>1.4</v>
      </c>
      <c r="H72" s="53">
        <f>STT!H77</f>
        <v>0.76500000000000001</v>
      </c>
      <c r="I72" s="16">
        <f>STT!I77</f>
        <v>142.69999999999999</v>
      </c>
      <c r="J72" s="16">
        <f>STT!J77</f>
        <v>81.5</v>
      </c>
      <c r="K72" s="31">
        <f>STT!K77</f>
        <v>62</v>
      </c>
      <c r="L72" s="16">
        <f>STT!L77</f>
        <v>224.55555555555554</v>
      </c>
      <c r="M72" s="31" t="str">
        <f>STT!M77</f>
        <v>.16-04</v>
      </c>
      <c r="N72" s="16">
        <f>STT!N77</f>
        <v>284</v>
      </c>
      <c r="O72" s="16" t="str">
        <f>STT!O77</f>
        <v>.16-05</v>
      </c>
      <c r="P72" s="25">
        <f>STT!P77</f>
        <v>270</v>
      </c>
      <c r="Q72" s="16" t="str">
        <f>STT!Q77</f>
        <v>.16-01</v>
      </c>
      <c r="R72" s="31" t="str">
        <f>STT!R77</f>
        <v>keh</v>
      </c>
      <c r="S72" s="25">
        <f>STT!S77</f>
        <v>228</v>
      </c>
      <c r="T72" s="16" t="str">
        <f>STT!T77</f>
        <v>.15-11</v>
      </c>
      <c r="U72" s="31" t="str">
        <f>STT!U77</f>
        <v>camtec</v>
      </c>
    </row>
    <row r="73" spans="1:21">
      <c r="A73" s="144" t="str">
        <f>CZ.V!A81</f>
        <v>Carl Zeiss</v>
      </c>
      <c r="B73" s="144" t="str">
        <f>CZ.V!B81</f>
        <v>vSonnar T* 70-300/4-5.6 N</v>
      </c>
      <c r="C73" s="27" t="str">
        <f>CZ.V!C81</f>
        <v>70-300</v>
      </c>
      <c r="D73" s="41" t="str">
        <f>CZ.V!D81</f>
        <v>4-5.6</v>
      </c>
      <c r="E73" s="27" t="str">
        <f>CZ.V!E81</f>
        <v>112-420</v>
      </c>
      <c r="F73" s="86" t="str">
        <f>CZ.V!F81</f>
        <v>N</v>
      </c>
      <c r="G73" s="55">
        <f>CZ.V!G81</f>
        <v>1.5</v>
      </c>
      <c r="H73" s="56">
        <f>CZ.V!H81</f>
        <v>1.07</v>
      </c>
      <c r="I73" s="27">
        <f>CZ.V!I81</f>
        <v>129</v>
      </c>
      <c r="J73" s="27">
        <f>CZ.V!J81</f>
        <v>88</v>
      </c>
      <c r="K73" s="33">
        <f>CZ.V!K81</f>
        <v>72</v>
      </c>
      <c r="L73" s="27">
        <f>CZ.V!L81</f>
        <v>333.72727272727275</v>
      </c>
      <c r="M73" s="33" t="str">
        <f>CZ.V!M81</f>
        <v>.16-03</v>
      </c>
      <c r="N73" s="27">
        <f>CZ.V!N81</f>
        <v>377.75</v>
      </c>
      <c r="O73" s="27" t="str">
        <f>CZ.V!O81</f>
        <v>.16-05</v>
      </c>
      <c r="P73" s="26">
        <f>CZ.V!P81</f>
        <v>250</v>
      </c>
      <c r="Q73" s="27" t="str">
        <f>CZ.V!Q81</f>
        <v>.16-05</v>
      </c>
      <c r="R73" s="33" t="str">
        <f>CZ.V!R81</f>
        <v>precis</v>
      </c>
      <c r="S73" s="26">
        <f>CZ.V!S81</f>
        <v>450</v>
      </c>
      <c r="T73" s="27" t="str">
        <f>CZ.V!T81</f>
        <v>.16-05</v>
      </c>
      <c r="U73" s="33" t="str">
        <f>CZ.V!U81</f>
        <v>b&amp;h</v>
      </c>
    </row>
    <row r="74" spans="1:21">
      <c r="A74" s="143" t="str">
        <f>EFz!A24</f>
        <v>Canon</v>
      </c>
      <c r="B74" s="143" t="str">
        <f>EFz!B24</f>
        <v xml:space="preserve">EF 80-200/2.8 L </v>
      </c>
      <c r="C74" s="16" t="str">
        <f>EFz!C24</f>
        <v>80-200</v>
      </c>
      <c r="D74" s="18">
        <f>EFz!D24</f>
        <v>2.8</v>
      </c>
      <c r="E74" s="16" t="str">
        <f>EFz!E24</f>
        <v>128-320</v>
      </c>
      <c r="F74" s="85" t="str">
        <f>EFz!F24</f>
        <v>EF</v>
      </c>
      <c r="G74" s="58" t="str">
        <f>EFz!G24</f>
        <v>1.8</v>
      </c>
      <c r="H74" s="53">
        <f>EFz!H24</f>
        <v>1.33</v>
      </c>
      <c r="I74" s="16">
        <f>EFz!I24</f>
        <v>186</v>
      </c>
      <c r="J74" s="16">
        <f>EFz!J24</f>
        <v>84</v>
      </c>
      <c r="K74" s="31">
        <f>EFz!K24</f>
        <v>72</v>
      </c>
      <c r="L74" s="16">
        <f>EFz!L24</f>
        <v>526.5454545454545</v>
      </c>
      <c r="M74" s="31" t="str">
        <f>EFz!M24</f>
        <v>.16-05</v>
      </c>
      <c r="N74" s="16">
        <f>EFz!N24</f>
        <v>653.79999999999995</v>
      </c>
      <c r="O74" s="16" t="str">
        <f>EFz!O24</f>
        <v>.16-04</v>
      </c>
      <c r="P74" s="25">
        <f>EFz!P24</f>
        <v>822</v>
      </c>
      <c r="Q74" s="16" t="str">
        <f>EFz!Q24</f>
        <v>.16-01</v>
      </c>
      <c r="R74" s="31" t="str">
        <f>EFz!R24</f>
        <v>keh</v>
      </c>
      <c r="S74" s="25" t="str">
        <f>EFz!S24</f>
        <v xml:space="preserve"> </v>
      </c>
      <c r="T74" s="16" t="str">
        <f>EFz!T24</f>
        <v xml:space="preserve"> </v>
      </c>
      <c r="U74" s="31" t="str">
        <f>EFz!U24</f>
        <v xml:space="preserve"> </v>
      </c>
    </row>
    <row r="75" spans="1:21">
      <c r="A75" s="143" t="str">
        <f>STT!A78</f>
        <v>Tamron</v>
      </c>
      <c r="B75" s="143" t="str">
        <f>STT!B78</f>
        <v>SP 80-200/2.8 LD pp</v>
      </c>
      <c r="C75" s="16" t="str">
        <f>STT!C78</f>
        <v>80-200</v>
      </c>
      <c r="D75" s="18">
        <f>STT!D78</f>
        <v>2.8</v>
      </c>
      <c r="E75" s="16" t="str">
        <f>STT!E78</f>
        <v>128-320</v>
      </c>
      <c r="F75" s="85" t="str">
        <f>STT!F78</f>
        <v>A2</v>
      </c>
      <c r="G75" s="58">
        <f>STT!G78</f>
        <v>1.5</v>
      </c>
      <c r="H75" s="53">
        <f>STT!H78</f>
        <v>1.22</v>
      </c>
      <c r="I75" s="16">
        <f>STT!I78</f>
        <v>178</v>
      </c>
      <c r="J75" s="16">
        <f>STT!J78</f>
        <v>82</v>
      </c>
      <c r="K75" s="31">
        <f>STT!K78</f>
        <v>77</v>
      </c>
      <c r="L75" s="16">
        <f>STT!L78</f>
        <v>197</v>
      </c>
      <c r="M75" s="31" t="str">
        <f>STT!M78</f>
        <v>.16-05</v>
      </c>
      <c r="N75" s="16">
        <f>STT!N78</f>
        <v>350.83333333333331</v>
      </c>
      <c r="O75" s="16" t="str">
        <f>STT!O78</f>
        <v>.14-08</v>
      </c>
      <c r="P75" s="25">
        <f>STT!P78</f>
        <v>395</v>
      </c>
      <c r="Q75" s="16" t="str">
        <f>STT!Q78</f>
        <v>.12-01</v>
      </c>
      <c r="R75" s="31" t="str">
        <f>STT!R78</f>
        <v>v.v</v>
      </c>
      <c r="S75" s="25">
        <f>STT!S78</f>
        <v>430</v>
      </c>
      <c r="T75" s="16" t="str">
        <f>STT!T78</f>
        <v>.12-01</v>
      </c>
      <c r="U75" s="31" t="str">
        <f>STT!U78</f>
        <v>keh</v>
      </c>
    </row>
    <row r="76" spans="1:21">
      <c r="A76" s="143" t="str">
        <f>STT!A104</f>
        <v>Tokina</v>
      </c>
      <c r="B76" s="143" t="str">
        <f>STT!B104</f>
        <v>AT-X &amp; AT-X Pro 828 AF</v>
      </c>
      <c r="C76" s="16" t="str">
        <f>STT!C104</f>
        <v>80-200</v>
      </c>
      <c r="D76" s="18">
        <f>STT!D104</f>
        <v>2.8</v>
      </c>
      <c r="E76" s="16" t="str">
        <f>STT!E104</f>
        <v>128-320</v>
      </c>
      <c r="F76" s="85" t="str">
        <f>STT!F104</f>
        <v>EF</v>
      </c>
      <c r="G76" s="58">
        <f>STT!G104</f>
        <v>1.8</v>
      </c>
      <c r="H76" s="53">
        <f>STT!H104</f>
        <v>1.35</v>
      </c>
      <c r="I76" s="16">
        <f>STT!I104</f>
        <v>184</v>
      </c>
      <c r="J76" s="16">
        <f>STT!J104</f>
        <v>84</v>
      </c>
      <c r="K76" s="31">
        <f>STT!K104</f>
        <v>77</v>
      </c>
      <c r="L76" s="16">
        <f>STT!L104</f>
        <v>348</v>
      </c>
      <c r="M76" s="31" t="str">
        <f>STT!M104</f>
        <v>.16-05</v>
      </c>
      <c r="N76" s="16">
        <f>STT!N104</f>
        <v>528.57142857142856</v>
      </c>
      <c r="O76" s="16" t="str">
        <f>STT!O104</f>
        <v>.15-02</v>
      </c>
      <c r="P76" s="25" t="str">
        <f>STT!P104</f>
        <v>320</v>
      </c>
      <c r="Q76" s="16" t="str">
        <f>STT!Q104</f>
        <v>.14-08</v>
      </c>
      <c r="R76" s="31" t="str">
        <f>STT!R104</f>
        <v>ado</v>
      </c>
      <c r="S76" s="25" t="str">
        <f>STT!S104</f>
        <v xml:space="preserve"> </v>
      </c>
      <c r="T76" s="16" t="str">
        <f>STT!T104</f>
        <v xml:space="preserve"> </v>
      </c>
      <c r="U76" s="31" t="str">
        <f>STT!U104</f>
        <v xml:space="preserve"> </v>
      </c>
    </row>
    <row r="77" spans="1:21">
      <c r="A77" s="144" t="str">
        <f>CZ.V!A72</f>
        <v>Carl Zeiss</v>
      </c>
      <c r="B77" s="144" t="str">
        <f>CZ.V!B72</f>
        <v>vSonnar T* 80-200mm f/4 CY</v>
      </c>
      <c r="C77" s="27" t="str">
        <f>CZ.V!C72</f>
        <v>80-200</v>
      </c>
      <c r="D77" s="41">
        <f>CZ.V!D72</f>
        <v>4</v>
      </c>
      <c r="E77" s="27" t="str">
        <f>CZ.V!E72</f>
        <v>128-320</v>
      </c>
      <c r="F77" s="86" t="str">
        <f>CZ.V!F72</f>
        <v>CY</v>
      </c>
      <c r="G77" s="55">
        <f>CZ.V!G72</f>
        <v>1</v>
      </c>
      <c r="H77" s="56">
        <f>CZ.V!H72</f>
        <v>0.68</v>
      </c>
      <c r="I77" s="27">
        <f>CZ.V!I72</f>
        <v>160.5</v>
      </c>
      <c r="J77" s="27">
        <f>CZ.V!J72</f>
        <v>67</v>
      </c>
      <c r="K77" s="33">
        <f>CZ.V!K72</f>
        <v>55</v>
      </c>
      <c r="L77" s="27">
        <f>CZ.V!L72</f>
        <v>202.08333333333334</v>
      </c>
      <c r="M77" s="33" t="str">
        <f>CZ.V!M72</f>
        <v>.16-05</v>
      </c>
      <c r="N77" s="27">
        <f>CZ.V!N72</f>
        <v>292.375</v>
      </c>
      <c r="O77" s="27" t="str">
        <f>CZ.V!O72</f>
        <v>.16-04</v>
      </c>
      <c r="P77" s="26">
        <f>CZ.V!P72</f>
        <v>328</v>
      </c>
      <c r="Q77" s="27" t="str">
        <f>CZ.V!Q72</f>
        <v>.15-11</v>
      </c>
      <c r="R77" s="33" t="str">
        <f>CZ.V!R72</f>
        <v>keh</v>
      </c>
      <c r="S77" s="26">
        <f>CZ.V!S72</f>
        <v>400</v>
      </c>
      <c r="T77" s="27" t="str">
        <f>CZ.V!T72</f>
        <v>.15-01</v>
      </c>
      <c r="U77" s="33" t="str">
        <f>CZ.V!U72</f>
        <v>kevin</v>
      </c>
    </row>
    <row r="78" spans="1:21">
      <c r="A78" s="143" t="str">
        <f>STT!A37</f>
        <v>Sigma</v>
      </c>
      <c r="B78" s="143" t="str">
        <f>STT!B37</f>
        <v>EX 100-300/4 APO IF</v>
      </c>
      <c r="C78" s="16" t="str">
        <f>STT!C37</f>
        <v>100-300</v>
      </c>
      <c r="D78" s="18">
        <f>STT!D37</f>
        <v>4</v>
      </c>
      <c r="E78" s="16" t="str">
        <f>STT!E37</f>
        <v>160-480</v>
      </c>
      <c r="F78" s="85" t="str">
        <f>STT!F37</f>
        <v>EF</v>
      </c>
      <c r="G78" s="58">
        <f>STT!G37</f>
        <v>1.8</v>
      </c>
      <c r="H78" s="53">
        <f>STT!H37</f>
        <v>1.48</v>
      </c>
      <c r="I78" s="16">
        <f>STT!I37</f>
        <v>224</v>
      </c>
      <c r="J78" s="16">
        <f>STT!J37</f>
        <v>92</v>
      </c>
      <c r="K78" s="31">
        <f>STT!K37</f>
        <v>82</v>
      </c>
      <c r="L78" s="16">
        <f>STT!L37</f>
        <v>549.11111111111109</v>
      </c>
      <c r="M78" s="31" t="str">
        <f>STT!M37</f>
        <v>.15-08</v>
      </c>
      <c r="N78" s="16">
        <f>STT!N37</f>
        <v>718.25</v>
      </c>
      <c r="O78" s="16" t="str">
        <f>STT!O37</f>
        <v>.14-08</v>
      </c>
      <c r="P78" s="25">
        <f>STT!P37</f>
        <v>684</v>
      </c>
      <c r="Q78" s="16" t="str">
        <f>STT!Q37</f>
        <v>.15-11</v>
      </c>
      <c r="R78" s="31" t="str">
        <f>STT!R37</f>
        <v>henrys</v>
      </c>
      <c r="S78" s="25" t="str">
        <f>STT!S37</f>
        <v xml:space="preserve"> </v>
      </c>
      <c r="T78" s="16" t="str">
        <f>STT!T37</f>
        <v xml:space="preserve"> </v>
      </c>
      <c r="U78" s="31" t="str">
        <f>STT!U37</f>
        <v xml:space="preserve"> </v>
      </c>
    </row>
    <row r="79" spans="1:21">
      <c r="A79" s="143" t="str">
        <f>STT!A105</f>
        <v>Tokina</v>
      </c>
      <c r="B79" s="143" t="str">
        <f>STT!B105</f>
        <v>AT-X 100-300/4 AF</v>
      </c>
      <c r="C79" s="16" t="str">
        <f>STT!C105</f>
        <v>100-300</v>
      </c>
      <c r="D79" s="18">
        <f>STT!D105</f>
        <v>4</v>
      </c>
      <c r="E79" s="16" t="str">
        <f>STT!E105</f>
        <v>160-480</v>
      </c>
      <c r="F79" s="85" t="str">
        <f>STT!F105</f>
        <v>EF</v>
      </c>
      <c r="G79" s="58">
        <f>STT!G105</f>
        <v>2</v>
      </c>
      <c r="H79" s="53">
        <f>STT!H105</f>
        <v>1.52</v>
      </c>
      <c r="I79" s="16">
        <f>STT!I105</f>
        <v>228.6</v>
      </c>
      <c r="J79" s="16">
        <f>STT!J105</f>
        <v>81.3</v>
      </c>
      <c r="K79" s="31">
        <f>STT!K105</f>
        <v>77</v>
      </c>
      <c r="L79" s="16">
        <f>STT!L105</f>
        <v>194.5</v>
      </c>
      <c r="M79" s="31" t="str">
        <f>STT!M105</f>
        <v>.16-01</v>
      </c>
      <c r="N79" s="16">
        <f>STT!N105</f>
        <v>358.33333333333331</v>
      </c>
      <c r="O79" s="16" t="str">
        <f>STT!O105</f>
        <v>.15-03</v>
      </c>
      <c r="P79" s="25">
        <f>STT!P105</f>
        <v>295</v>
      </c>
      <c r="Q79" s="16" t="str">
        <f>STT!Q105</f>
        <v>.12-02</v>
      </c>
      <c r="R79" s="31" t="str">
        <f>STT!R105</f>
        <v>jack's</v>
      </c>
      <c r="S79" s="25" t="str">
        <f>STT!S105</f>
        <v xml:space="preserve"> </v>
      </c>
      <c r="T79" s="16" t="str">
        <f>STT!T105</f>
        <v xml:space="preserve"> </v>
      </c>
      <c r="U79" s="31" t="str">
        <f>STT!U105</f>
        <v xml:space="preserve"> </v>
      </c>
    </row>
    <row r="80" spans="1:21">
      <c r="A80" s="143" t="str">
        <f>EFz!A32</f>
        <v>Canon</v>
      </c>
      <c r="B80" s="143" t="str">
        <f>EFz!B32</f>
        <v xml:space="preserve">EF 100-300/5.6 L </v>
      </c>
      <c r="C80" s="16" t="str">
        <f>EFz!C32</f>
        <v>100-300</v>
      </c>
      <c r="D80" s="18">
        <f>EFz!D32</f>
        <v>5.6</v>
      </c>
      <c r="E80" s="16" t="str">
        <f>EFz!E32</f>
        <v>160-420</v>
      </c>
      <c r="F80" s="85" t="str">
        <f>EFz!F32</f>
        <v>EF</v>
      </c>
      <c r="G80" s="58">
        <f>EFz!G32</f>
        <v>1.5</v>
      </c>
      <c r="H80" s="53">
        <f>EFz!H32</f>
        <v>0.69499999999999995</v>
      </c>
      <c r="I80" s="16">
        <f>EFz!I32</f>
        <v>166.6</v>
      </c>
      <c r="J80" s="16">
        <f>EFz!J32</f>
        <v>75</v>
      </c>
      <c r="K80" s="31">
        <f>EFz!K32</f>
        <v>58</v>
      </c>
      <c r="L80" s="16">
        <f>EFz!L32</f>
        <v>208.69230769230768</v>
      </c>
      <c r="M80" s="31" t="str">
        <f>EFz!M32</f>
        <v>.16-05</v>
      </c>
      <c r="N80" s="16">
        <f>EFz!N32</f>
        <v>300.125</v>
      </c>
      <c r="O80" s="16" t="str">
        <f>EFz!O32</f>
        <v>.16-04</v>
      </c>
      <c r="P80" s="25">
        <f>EFz!P32</f>
        <v>250.04</v>
      </c>
      <c r="Q80" s="16" t="str">
        <f>EFz!Q32</f>
        <v>.15-04</v>
      </c>
      <c r="R80" s="31" t="str">
        <f>EFz!R32</f>
        <v>ctc</v>
      </c>
      <c r="S80" s="25">
        <f>EFz!S32</f>
        <v>400</v>
      </c>
      <c r="T80" s="16" t="str">
        <f>EFz!T32</f>
        <v>.16-01</v>
      </c>
      <c r="U80" s="31" t="str">
        <f>EFz!U32</f>
        <v>b&amp;h</v>
      </c>
    </row>
    <row r="81" spans="1:21">
      <c r="A81" s="143" t="str">
        <f>CZ.V!A73</f>
        <v>Carl Zeiss</v>
      </c>
      <c r="B81" s="143" t="str">
        <f>CZ.V!B73</f>
        <v>vSonnar T* 100-300/4.5-5.6 CY</v>
      </c>
      <c r="C81" s="16" t="str">
        <f>CZ.V!C73</f>
        <v>100-300</v>
      </c>
      <c r="D81" s="18" t="str">
        <f>CZ.V!D73</f>
        <v>4.5-5.6</v>
      </c>
      <c r="E81" s="16" t="str">
        <f>CZ.V!E73</f>
        <v>160-420</v>
      </c>
      <c r="F81" s="85" t="str">
        <f>CZ.V!F73</f>
        <v>CY</v>
      </c>
      <c r="G81" s="58">
        <f>CZ.V!G73</f>
        <v>1.5</v>
      </c>
      <c r="H81" s="53">
        <f>CZ.V!H73</f>
        <v>0.92500000000000004</v>
      </c>
      <c r="I81" s="16">
        <f>CZ.V!I73</f>
        <v>143</v>
      </c>
      <c r="J81" s="16">
        <f>CZ.V!J73</f>
        <v>70</v>
      </c>
      <c r="K81" s="31">
        <f>CZ.V!K73</f>
        <v>67</v>
      </c>
      <c r="L81" s="16">
        <f>CZ.V!L73</f>
        <v>806.75</v>
      </c>
      <c r="M81" s="31" t="str">
        <f>CZ.V!M73</f>
        <v>.16-05</v>
      </c>
      <c r="N81" s="16">
        <f>CZ.V!N73</f>
        <v>959.72727272727275</v>
      </c>
      <c r="O81" s="16" t="str">
        <f>CZ.V!O73</f>
        <v>.16-05</v>
      </c>
      <c r="P81" s="25">
        <f>CZ.V!P73</f>
        <v>880</v>
      </c>
      <c r="Q81" s="16" t="str">
        <f>CZ.V!Q73</f>
        <v>.15-11</v>
      </c>
      <c r="R81" s="31" t="str">
        <f>CZ.V!R73</f>
        <v>keh</v>
      </c>
      <c r="S81" s="25">
        <f>CZ.V!S73</f>
        <v>1270</v>
      </c>
      <c r="T81" s="16" t="str">
        <f>CZ.V!T73</f>
        <v>.12-02</v>
      </c>
      <c r="U81" s="31" t="str">
        <f>CZ.V!U73</f>
        <v>keh</v>
      </c>
    </row>
    <row r="82" spans="1:21">
      <c r="A82" s="143" t="str">
        <f>EFz!A33</f>
        <v>Canon</v>
      </c>
      <c r="B82" s="143" t="str">
        <f>EFz!B33</f>
        <v xml:space="preserve">EF 100-400/4.5-5.6 L IS USM </v>
      </c>
      <c r="C82" s="16" t="str">
        <f>EFz!C33</f>
        <v>100-400</v>
      </c>
      <c r="D82" s="18" t="str">
        <f>EFz!D33</f>
        <v>4.5-5.6</v>
      </c>
      <c r="E82" s="16" t="str">
        <f>EFz!E33</f>
        <v>160-640</v>
      </c>
      <c r="F82" s="85" t="str">
        <f>EFz!F33</f>
        <v>EF</v>
      </c>
      <c r="G82" s="58">
        <f>EFz!G33</f>
        <v>1.8</v>
      </c>
      <c r="H82" s="53">
        <f>EFz!H33</f>
        <v>1.38</v>
      </c>
      <c r="I82" s="16">
        <f>EFz!I33</f>
        <v>189</v>
      </c>
      <c r="J82" s="16">
        <f>EFz!J33</f>
        <v>92</v>
      </c>
      <c r="K82" s="31">
        <f>EFz!K33</f>
        <v>77</v>
      </c>
      <c r="L82" s="16">
        <f>EFz!L33</f>
        <v>729.6</v>
      </c>
      <c r="M82" s="31" t="str">
        <f>EFz!M33</f>
        <v>.16-05</v>
      </c>
      <c r="N82" s="16">
        <f>EFz!N33</f>
        <v>898.90909090909088</v>
      </c>
      <c r="O82" s="16" t="str">
        <f>EFz!O33</f>
        <v>.16-05</v>
      </c>
      <c r="P82" s="25">
        <f>EFz!P33</f>
        <v>850</v>
      </c>
      <c r="Q82" s="16" t="str">
        <f>EFz!Q33</f>
        <v>.16-01</v>
      </c>
      <c r="R82" s="31" t="str">
        <f>EFz!R33</f>
        <v>ado</v>
      </c>
      <c r="S82" s="25">
        <f>EFz!S33</f>
        <v>995</v>
      </c>
      <c r="T82" s="16" t="str">
        <f>EFz!T33</f>
        <v>.16-01</v>
      </c>
      <c r="U82" s="31" t="str">
        <f>EFz!U33</f>
        <v>igor</v>
      </c>
    </row>
    <row r="83" spans="1:21">
      <c r="A83" s="144" t="str">
        <f>EFz!A34</f>
        <v>Canon</v>
      </c>
      <c r="B83" s="144" t="str">
        <f>EFz!B34</f>
        <v xml:space="preserve">EF 100-400/4.5-5.6 L IS II USM </v>
      </c>
      <c r="C83" s="27" t="str">
        <f>EFz!C34</f>
        <v>100-400</v>
      </c>
      <c r="D83" s="41" t="str">
        <f>EFz!D34</f>
        <v>4.5-5.6</v>
      </c>
      <c r="E83" s="27" t="str">
        <f>EFz!E34</f>
        <v>160-640</v>
      </c>
      <c r="F83" s="86" t="str">
        <f>EFz!F34</f>
        <v>EF</v>
      </c>
      <c r="G83" s="55">
        <f>EFz!G34</f>
        <v>0.98</v>
      </c>
      <c r="H83" s="56">
        <f>EFz!H34</f>
        <v>1.57</v>
      </c>
      <c r="I83" s="27">
        <f>EFz!I34</f>
        <v>193</v>
      </c>
      <c r="J83" s="27">
        <f>EFz!J34</f>
        <v>94</v>
      </c>
      <c r="K83" s="33">
        <f>EFz!K34</f>
        <v>77</v>
      </c>
      <c r="L83" s="27">
        <f>EFz!L34</f>
        <v>1705</v>
      </c>
      <c r="M83" s="33" t="str">
        <f>EFz!M34</f>
        <v>.16-05</v>
      </c>
      <c r="N83" s="27">
        <f>EFz!N34</f>
        <v>1863.875</v>
      </c>
      <c r="O83" s="27" t="str">
        <f>EFz!O34</f>
        <v>.16-04</v>
      </c>
      <c r="P83" s="26" t="str">
        <f>EFz!P34</f>
        <v xml:space="preserve"> </v>
      </c>
      <c r="Q83" s="27" t="str">
        <f>EFz!Q34</f>
        <v xml:space="preserve"> </v>
      </c>
      <c r="R83" s="33" t="str">
        <f>EFz!R34</f>
        <v xml:space="preserve"> </v>
      </c>
      <c r="S83" s="26">
        <f>EFz!S34</f>
        <v>2200</v>
      </c>
      <c r="T83" s="27" t="str">
        <f>EFz!T34</f>
        <v>.15-04</v>
      </c>
      <c r="U83" s="33" t="str">
        <f>EFz!U34</f>
        <v>b&amp;h</v>
      </c>
    </row>
    <row r="84" spans="1:21">
      <c r="A84" s="144" t="str">
        <f>'645'!A29</f>
        <v>Mamiya</v>
      </c>
      <c r="B84" s="144" t="str">
        <f>'645'!B29</f>
        <v>Mamiya C ULD 105-210/4.5</v>
      </c>
      <c r="C84" s="27" t="str">
        <f>'645'!C29</f>
        <v>105-210</v>
      </c>
      <c r="D84" s="41">
        <f>'645'!D29</f>
        <v>4.5</v>
      </c>
      <c r="E84" s="27" t="str">
        <f>'645'!E29</f>
        <v xml:space="preserve"> </v>
      </c>
      <c r="F84" s="86" t="str">
        <f>'645'!F29</f>
        <v>M645</v>
      </c>
      <c r="G84" s="55">
        <f>'645'!G29</f>
        <v>1.8</v>
      </c>
      <c r="H84" s="56">
        <f>'645'!H29</f>
        <v>0.875</v>
      </c>
      <c r="I84" s="27">
        <f>'645'!I29</f>
        <v>158</v>
      </c>
      <c r="J84" s="27">
        <f>'645'!J29</f>
        <v>74.5</v>
      </c>
      <c r="K84" s="33">
        <f>'645'!K29</f>
        <v>58</v>
      </c>
      <c r="L84" s="27">
        <f>'645'!L29</f>
        <v>119.66666666666667</v>
      </c>
      <c r="M84" s="33" t="str">
        <f>'645'!M29</f>
        <v>.16-04</v>
      </c>
      <c r="N84" s="27">
        <f>'645'!N29</f>
        <v>185.55555555555554</v>
      </c>
      <c r="O84" s="27" t="str">
        <f>'645'!O29</f>
        <v>.16-01</v>
      </c>
      <c r="P84" s="26">
        <f>'645'!P29</f>
        <v>150</v>
      </c>
      <c r="Q84" s="27" t="str">
        <f>'645'!Q29</f>
        <v>.16-01</v>
      </c>
      <c r="R84" s="33" t="str">
        <f>'645'!R29</f>
        <v>b&amp;h</v>
      </c>
      <c r="S84" s="26">
        <f>'645'!S29</f>
        <v>350</v>
      </c>
      <c r="T84" s="27" t="str">
        <f>'645'!T29</f>
        <v>.12-12</v>
      </c>
      <c r="U84" s="33" t="str">
        <f>'645'!U29</f>
        <v>b&amp;h</v>
      </c>
    </row>
    <row r="85" spans="1:21">
      <c r="A85" s="143" t="str">
        <f>STT!A38</f>
        <v>Sigma</v>
      </c>
      <c r="B85" s="143" t="str">
        <f>STT!B38</f>
        <v>EX 120-300/2.8 HSM</v>
      </c>
      <c r="C85" s="16" t="str">
        <f>STT!C38</f>
        <v>120-300</v>
      </c>
      <c r="D85" s="18">
        <f>STT!D38</f>
        <v>2.8</v>
      </c>
      <c r="E85" s="16" t="str">
        <f>STT!E38</f>
        <v>192-480</v>
      </c>
      <c r="F85" s="85" t="str">
        <f>STT!F38</f>
        <v>EF</v>
      </c>
      <c r="G85" s="58">
        <f>STT!G38</f>
        <v>2.5</v>
      </c>
      <c r="H85" s="53">
        <f>STT!H38</f>
        <v>2.6</v>
      </c>
      <c r="I85" s="16">
        <f>STT!I38</f>
        <v>268.5</v>
      </c>
      <c r="J85" s="16">
        <f>STT!J38</f>
        <v>112.8</v>
      </c>
      <c r="K85" s="31">
        <f>STT!K38</f>
        <v>105</v>
      </c>
      <c r="L85" s="16">
        <f>STT!L38</f>
        <v>832.4</v>
      </c>
      <c r="M85" s="31" t="str">
        <f>STT!M38</f>
        <v>.16-01</v>
      </c>
      <c r="N85" s="16">
        <f>STT!N38</f>
        <v>1413.8333333333333</v>
      </c>
      <c r="O85" s="16" t="str">
        <f>STT!O38</f>
        <v>.16-04</v>
      </c>
      <c r="P85" s="25">
        <f>STT!P38</f>
        <v>1360</v>
      </c>
      <c r="Q85" s="16" t="str">
        <f>STT!Q38</f>
        <v>.15-04</v>
      </c>
      <c r="R85" s="31" t="str">
        <f>STT!R38</f>
        <v>keh</v>
      </c>
      <c r="S85" s="25">
        <f>STT!S38</f>
        <v>1600</v>
      </c>
      <c r="T85" s="16" t="str">
        <f>STT!T38</f>
        <v>.13-02</v>
      </c>
      <c r="U85" s="31" t="str">
        <f>STT!U38</f>
        <v>keh</v>
      </c>
    </row>
    <row r="86" spans="1:21">
      <c r="A86" s="143" t="str">
        <f>STT!A39</f>
        <v>Sigma</v>
      </c>
      <c r="B86" s="143" t="str">
        <f>STT!B39</f>
        <v>EX 120-300/2.8 OS HSM</v>
      </c>
      <c r="C86" s="16" t="str">
        <f>STT!C39</f>
        <v>120-300</v>
      </c>
      <c r="D86" s="18">
        <f>STT!D39</f>
        <v>2.8</v>
      </c>
      <c r="E86" s="16" t="str">
        <f>STT!E39</f>
        <v>192-480</v>
      </c>
      <c r="F86" s="85" t="str">
        <f>STT!F39</f>
        <v>EF</v>
      </c>
      <c r="G86" s="58" t="str">
        <f>STT!G39</f>
        <v>1.5-2.5</v>
      </c>
      <c r="H86" s="53">
        <f>STT!H39</f>
        <v>2.95</v>
      </c>
      <c r="I86" s="16">
        <f>STT!I39</f>
        <v>289.2</v>
      </c>
      <c r="J86" s="16">
        <f>STT!J39</f>
        <v>114</v>
      </c>
      <c r="K86" s="31">
        <f>STT!K39</f>
        <v>105</v>
      </c>
      <c r="L86" s="16">
        <f>STT!L39</f>
        <v>1626.6666666666667</v>
      </c>
      <c r="M86" s="31" t="str">
        <f>STT!M39</f>
        <v>.16-01</v>
      </c>
      <c r="N86" s="16">
        <f>STT!N39</f>
        <v>2162.8000000000002</v>
      </c>
      <c r="O86" s="16" t="str">
        <f>STT!O39</f>
        <v>.14-07</v>
      </c>
      <c r="P86" s="25">
        <f>STT!P39</f>
        <v>1700</v>
      </c>
      <c r="Q86" s="16" t="str">
        <f>STT!Q39</f>
        <v>.15-04</v>
      </c>
      <c r="R86" s="31" t="str">
        <f>STT!R39</f>
        <v>ado</v>
      </c>
      <c r="S86" s="25">
        <f>STT!S39</f>
        <v>2700</v>
      </c>
      <c r="T86" s="16" t="str">
        <f>STT!T39</f>
        <v>.13-04</v>
      </c>
      <c r="U86" s="31" t="str">
        <f>STT!U39</f>
        <v>b&amp;h</v>
      </c>
    </row>
    <row r="87" spans="1:21">
      <c r="A87" s="144" t="str">
        <f>STT!A40</f>
        <v>Sigma</v>
      </c>
      <c r="B87" s="144" t="str">
        <f>STT!B40</f>
        <v>EX 120-300/2.8 OS S HSM</v>
      </c>
      <c r="C87" s="27" t="str">
        <f>STT!C40</f>
        <v>120-300</v>
      </c>
      <c r="D87" s="41">
        <f>STT!D40</f>
        <v>2.8</v>
      </c>
      <c r="E87" s="27" t="str">
        <f>STT!E40</f>
        <v>192-480</v>
      </c>
      <c r="F87" s="86" t="str">
        <f>STT!F40</f>
        <v>EF</v>
      </c>
      <c r="G87" s="55">
        <f>STT!G40</f>
        <v>1.5</v>
      </c>
      <c r="H87" s="56">
        <f>STT!H40</f>
        <v>3.39</v>
      </c>
      <c r="I87" s="27">
        <f>STT!I40</f>
        <v>291</v>
      </c>
      <c r="J87" s="27">
        <f>STT!J40</f>
        <v>121.4</v>
      </c>
      <c r="K87" s="33">
        <f>STT!K40</f>
        <v>105</v>
      </c>
      <c r="L87" s="27">
        <f>STT!L40</f>
        <v>2251.3333333333335</v>
      </c>
      <c r="M87" s="33" t="str">
        <f>STT!M40</f>
        <v>.16-05</v>
      </c>
      <c r="N87" s="27">
        <f>STT!N40</f>
        <v>2560.6666666666665</v>
      </c>
      <c r="O87" s="27" t="str">
        <f>STT!O40</f>
        <v>.16-01</v>
      </c>
      <c r="P87" s="26">
        <f>STT!P40</f>
        <v>2490</v>
      </c>
      <c r="Q87" s="27" t="str">
        <f>STT!Q40</f>
        <v>.16-01</v>
      </c>
      <c r="R87" s="33" t="str">
        <f>STT!R40</f>
        <v>LA</v>
      </c>
      <c r="S87" s="26">
        <f>STT!S40</f>
        <v>3600</v>
      </c>
      <c r="T87" s="27" t="str">
        <f>STT!T40</f>
        <v>.14-08</v>
      </c>
      <c r="U87" s="33" t="str">
        <f>STT!U40</f>
        <v>keh</v>
      </c>
    </row>
    <row r="88" spans="1:21">
      <c r="A88" s="143" t="str">
        <f>STT!A106</f>
        <v>Tokina</v>
      </c>
      <c r="B88" s="143" t="str">
        <f>STT!B106</f>
        <v>AT-X 150-500/5.6 SD</v>
      </c>
      <c r="C88" s="16" t="str">
        <f>STT!C106</f>
        <v>150-500</v>
      </c>
      <c r="D88" s="18">
        <f>STT!D106</f>
        <v>5.6</v>
      </c>
      <c r="E88" s="16" t="str">
        <f>STT!E106</f>
        <v>240-800</v>
      </c>
      <c r="F88" s="85" t="str">
        <f>STT!F106</f>
        <v>x</v>
      </c>
      <c r="G88" s="58">
        <f>STT!G106</f>
        <v>3.1</v>
      </c>
      <c r="H88" s="53">
        <f>STT!H106</f>
        <v>2.2400000000000002</v>
      </c>
      <c r="I88" s="16">
        <f>STT!I106</f>
        <v>314</v>
      </c>
      <c r="J88" s="16">
        <f>STT!J106</f>
        <v>104</v>
      </c>
      <c r="K88" s="31">
        <f>STT!K106</f>
        <v>95</v>
      </c>
      <c r="L88" s="16">
        <f>STT!L106</f>
        <v>214.66666666666666</v>
      </c>
      <c r="M88" s="31" t="str">
        <f>STT!M106</f>
        <v>.16-05</v>
      </c>
      <c r="N88" s="16">
        <f>STT!N106</f>
        <v>299.33333333333331</v>
      </c>
      <c r="O88" s="16" t="str">
        <f>STT!O106</f>
        <v>.16-05</v>
      </c>
      <c r="P88" s="25" t="str">
        <f>STT!P106</f>
        <v xml:space="preserve"> </v>
      </c>
      <c r="Q88" s="16" t="str">
        <f>STT!Q106</f>
        <v xml:space="preserve"> </v>
      </c>
      <c r="R88" s="31" t="str">
        <f>STT!R106</f>
        <v xml:space="preserve"> </v>
      </c>
      <c r="S88" s="25">
        <f>STT!S106</f>
        <v>450</v>
      </c>
      <c r="T88" s="16" t="str">
        <f>STT!T106</f>
        <v>.15-04</v>
      </c>
      <c r="U88" s="31" t="str">
        <f>STT!U106</f>
        <v>b&amp;h</v>
      </c>
    </row>
    <row r="89" spans="1:21">
      <c r="A89" s="143" t="str">
        <f>STT!A41</f>
        <v>Sigma</v>
      </c>
      <c r="B89" s="143" t="str">
        <f>STT!B41</f>
        <v>DG 150-500 OS APO HSM</v>
      </c>
      <c r="C89" s="16" t="str">
        <f>STT!C41</f>
        <v>150-500</v>
      </c>
      <c r="D89" s="18" t="str">
        <f>STT!D41</f>
        <v>5-6.3</v>
      </c>
      <c r="E89" s="16" t="str">
        <f>STT!E41</f>
        <v>240-800</v>
      </c>
      <c r="F89" s="85" t="str">
        <f>STT!F41</f>
        <v>EF</v>
      </c>
      <c r="G89" s="58">
        <f>STT!G41</f>
        <v>2.2000000000000002</v>
      </c>
      <c r="H89" s="53">
        <f>STT!H41</f>
        <v>1.91</v>
      </c>
      <c r="I89" s="16">
        <f>STT!I41</f>
        <v>252</v>
      </c>
      <c r="J89" s="16">
        <f>STT!J41</f>
        <v>74.7</v>
      </c>
      <c r="K89" s="31">
        <f>STT!K41</f>
        <v>58</v>
      </c>
      <c r="L89" s="16">
        <f>STT!L41</f>
        <v>462.375</v>
      </c>
      <c r="M89" s="31" t="str">
        <f>STT!M41</f>
        <v>.16-01</v>
      </c>
      <c r="N89" s="16">
        <f>STT!N41</f>
        <v>656.6</v>
      </c>
      <c r="O89" s="16" t="str">
        <f>STT!O41</f>
        <v>.16-05</v>
      </c>
      <c r="P89" s="25">
        <f>STT!P41</f>
        <v>500</v>
      </c>
      <c r="Q89" s="16" t="str">
        <f>STT!Q41</f>
        <v>.16-01</v>
      </c>
      <c r="R89" s="31" t="str">
        <f>STT!R41</f>
        <v>ado</v>
      </c>
      <c r="S89" s="25">
        <f>STT!S41</f>
        <v>725</v>
      </c>
      <c r="T89" s="16" t="str">
        <f>STT!T41</f>
        <v>.14-08</v>
      </c>
      <c r="U89" s="31" t="str">
        <f>STT!U41</f>
        <v>camW</v>
      </c>
    </row>
    <row r="90" spans="1:21">
      <c r="A90" s="143" t="str">
        <f>STT!A42</f>
        <v>Sigma</v>
      </c>
      <c r="B90" s="143" t="str">
        <f>STT!B42</f>
        <v>DG 150-600 OS C</v>
      </c>
      <c r="C90" s="16" t="str">
        <f>STT!C42</f>
        <v>150-600</v>
      </c>
      <c r="D90" s="18" t="str">
        <f>STT!D42</f>
        <v>5-6.3</v>
      </c>
      <c r="E90" s="16" t="str">
        <f>STT!E42</f>
        <v>240-960</v>
      </c>
      <c r="F90" s="85" t="str">
        <f>STT!F42</f>
        <v>EF</v>
      </c>
      <c r="G90" s="58">
        <f>STT!G42</f>
        <v>2.8</v>
      </c>
      <c r="H90" s="53">
        <f>STT!H42</f>
        <v>1.93</v>
      </c>
      <c r="I90" s="16">
        <f>STT!I42</f>
        <v>260.10000000000002</v>
      </c>
      <c r="J90" s="16">
        <f>STT!J42</f>
        <v>105</v>
      </c>
      <c r="K90" s="31">
        <f>STT!K42</f>
        <v>95</v>
      </c>
      <c r="L90" s="16">
        <f>STT!L42</f>
        <v>775</v>
      </c>
      <c r="M90" s="31" t="str">
        <f>STT!M42</f>
        <v>.16-03</v>
      </c>
      <c r="N90" s="16">
        <f>STT!N42</f>
        <v>890.33333333333337</v>
      </c>
      <c r="O90" s="16" t="str">
        <f>STT!O42</f>
        <v>.16-04</v>
      </c>
      <c r="P90" s="25" t="str">
        <f>STT!P42</f>
        <v xml:space="preserve"> </v>
      </c>
      <c r="Q90" s="16" t="str">
        <f>STT!Q42</f>
        <v xml:space="preserve"> </v>
      </c>
      <c r="R90" s="31" t="str">
        <f>STT!R42</f>
        <v xml:space="preserve"> </v>
      </c>
      <c r="S90" s="25">
        <f>STT!S42</f>
        <v>1090</v>
      </c>
      <c r="T90" s="16" t="str">
        <f>STT!T42</f>
        <v>.15-06</v>
      </c>
      <c r="U90" s="31" t="str">
        <f>STT!U42</f>
        <v>b&amp;h</v>
      </c>
    </row>
    <row r="91" spans="1:21">
      <c r="A91" s="143" t="str">
        <f>STT!A43</f>
        <v>Sigma</v>
      </c>
      <c r="B91" s="143" t="str">
        <f>STT!B43</f>
        <v>DG 150-600 OS S</v>
      </c>
      <c r="C91" s="16" t="str">
        <f>STT!C43</f>
        <v>150-600</v>
      </c>
      <c r="D91" s="18" t="str">
        <f>STT!D43</f>
        <v>5-6.3</v>
      </c>
      <c r="E91" s="16" t="str">
        <f>STT!E43</f>
        <v>240-960</v>
      </c>
      <c r="F91" s="85" t="str">
        <f>STT!F43</f>
        <v>EF</v>
      </c>
      <c r="G91" s="58">
        <f>STT!G43</f>
        <v>2.86</v>
      </c>
      <c r="H91" s="53">
        <f>STT!H43</f>
        <v>2.86</v>
      </c>
      <c r="I91" s="16">
        <f>STT!I43</f>
        <v>290.2</v>
      </c>
      <c r="J91" s="16">
        <f>STT!J43</f>
        <v>121</v>
      </c>
      <c r="K91" s="31">
        <f>STT!K43</f>
        <v>105</v>
      </c>
      <c r="L91" s="16">
        <f>STT!L43</f>
        <v>1606.5</v>
      </c>
      <c r="M91" s="31" t="str">
        <f>STT!M43</f>
        <v>.16-03</v>
      </c>
      <c r="N91" s="16">
        <f>STT!N43</f>
        <v>1663</v>
      </c>
      <c r="O91" s="16" t="str">
        <f>STT!O43</f>
        <v>.16-03</v>
      </c>
      <c r="P91" s="25" t="str">
        <f>STT!P43</f>
        <v xml:space="preserve"> </v>
      </c>
      <c r="Q91" s="16" t="str">
        <f>STT!Q43</f>
        <v xml:space="preserve"> </v>
      </c>
      <c r="R91" s="31" t="str">
        <f>STT!R43</f>
        <v xml:space="preserve"> </v>
      </c>
      <c r="S91" s="25">
        <f>STT!S43</f>
        <v>2000</v>
      </c>
      <c r="T91" s="16" t="str">
        <f>STT!T43</f>
        <v>.15-06</v>
      </c>
      <c r="U91" s="31" t="str">
        <f>STT!U43</f>
        <v>b&amp;h</v>
      </c>
    </row>
    <row r="92" spans="1:21">
      <c r="A92" s="144" t="str">
        <f>STT!A79</f>
        <v>Tamron</v>
      </c>
      <c r="B92" s="144" t="str">
        <f>STT!B79</f>
        <v>SP 150-600/5-6.3 VC</v>
      </c>
      <c r="C92" s="27" t="str">
        <f>STT!C79</f>
        <v>150-600</v>
      </c>
      <c r="D92" s="41" t="str">
        <f>STT!D79</f>
        <v>5-6.3</v>
      </c>
      <c r="E92" s="27" t="str">
        <f>STT!E79</f>
        <v>240-960</v>
      </c>
      <c r="F92" s="86" t="str">
        <f>STT!F79</f>
        <v>EF</v>
      </c>
      <c r="G92" s="55">
        <f>STT!G79</f>
        <v>2.7</v>
      </c>
      <c r="H92" s="56">
        <f>STT!H79</f>
        <v>1.9510000000000001</v>
      </c>
      <c r="I92" s="27">
        <f>STT!I79</f>
        <v>257.8</v>
      </c>
      <c r="J92" s="27">
        <f>STT!J79</f>
        <v>105.6</v>
      </c>
      <c r="K92" s="33">
        <f>STT!K79</f>
        <v>95</v>
      </c>
      <c r="L92" s="27">
        <f>STT!L79</f>
        <v>672.42857142857144</v>
      </c>
      <c r="M92" s="33" t="str">
        <f>STT!M79</f>
        <v>.16-04</v>
      </c>
      <c r="N92" s="27">
        <f>STT!N79</f>
        <v>771.11111111111109</v>
      </c>
      <c r="O92" s="27" t="str">
        <f>STT!O79</f>
        <v>.16-05</v>
      </c>
      <c r="P92" s="26">
        <f>STT!P79</f>
        <v>750</v>
      </c>
      <c r="Q92" s="27" t="str">
        <f>STT!Q79</f>
        <v>.16-01</v>
      </c>
      <c r="R92" s="33" t="str">
        <f>STT!R79</f>
        <v>ado</v>
      </c>
      <c r="S92" s="26">
        <f>STT!S79</f>
        <v>850</v>
      </c>
      <c r="T92" s="27" t="str">
        <f>STT!T79</f>
        <v>.15-11</v>
      </c>
      <c r="U92" s="33" t="str">
        <f>STT!U79</f>
        <v>ado</v>
      </c>
    </row>
    <row r="93" spans="1:21">
      <c r="A93" s="143" t="str">
        <f>LNOP!A68</f>
        <v>Nikon</v>
      </c>
      <c r="B93" s="143" t="str">
        <f>LNOP!B68</f>
        <v>Nikkor 200-400/4 *ED MF</v>
      </c>
      <c r="C93" s="16" t="str">
        <f>LNOP!C68</f>
        <v>200-400</v>
      </c>
      <c r="D93" s="18">
        <f>LNOP!D68</f>
        <v>4</v>
      </c>
      <c r="E93" s="16" t="str">
        <f>LNOP!E68</f>
        <v>320-640</v>
      </c>
      <c r="F93" s="85" t="str">
        <f>LNOP!F68</f>
        <v>AIS</v>
      </c>
      <c r="G93" s="58">
        <f>LNOP!G68</f>
        <v>3.65</v>
      </c>
      <c r="H93" s="53">
        <f>LNOP!H68</f>
        <v>4</v>
      </c>
      <c r="I93" s="16">
        <f>LNOP!I68</f>
        <v>330</v>
      </c>
      <c r="J93" s="16">
        <f>LNOP!J68</f>
        <v>144</v>
      </c>
      <c r="K93" s="31">
        <f>LNOP!K68</f>
        <v>122</v>
      </c>
      <c r="L93" s="16">
        <f>LNOP!L68</f>
        <v>2166.6666666666665</v>
      </c>
      <c r="M93" s="31" t="str">
        <f>LNOP!M68</f>
        <v>.14-10</v>
      </c>
      <c r="N93" s="16">
        <f>LNOP!N68</f>
        <v>3355.7142857142858</v>
      </c>
      <c r="O93" s="16" t="str">
        <f>LNOP!O68</f>
        <v>.14-09</v>
      </c>
      <c r="P93" s="25" t="str">
        <f>LNOP!P68</f>
        <v xml:space="preserve"> </v>
      </c>
      <c r="Q93" s="16" t="str">
        <f>LNOP!Q68</f>
        <v xml:space="preserve"> </v>
      </c>
      <c r="R93" s="31" t="str">
        <f>LNOP!R68</f>
        <v xml:space="preserve"> </v>
      </c>
      <c r="S93" s="25" t="str">
        <f>LNOP!S68</f>
        <v xml:space="preserve"> </v>
      </c>
      <c r="T93" s="16" t="str">
        <f>LNOP!T68</f>
        <v xml:space="preserve"> </v>
      </c>
      <c r="U93" s="31" t="str">
        <f>LNOP!U68</f>
        <v xml:space="preserve"> </v>
      </c>
    </row>
    <row r="94" spans="1:21">
      <c r="A94" s="143" t="str">
        <f>STT!A80</f>
        <v>Tamron</v>
      </c>
      <c r="B94" s="143" t="str">
        <f>STT!B80</f>
        <v>LD 200-400/5.6 IF</v>
      </c>
      <c r="C94" s="16" t="str">
        <f>STT!C80</f>
        <v>200-400</v>
      </c>
      <c r="D94" s="18">
        <f>STT!D80</f>
        <v>5.6</v>
      </c>
      <c r="E94" s="16" t="str">
        <f>STT!E80</f>
        <v xml:space="preserve">320-640 </v>
      </c>
      <c r="F94" s="85" t="str">
        <f>STT!F80</f>
        <v>EF</v>
      </c>
      <c r="G94" s="58">
        <f>STT!G80</f>
        <v>2.5</v>
      </c>
      <c r="H94" s="53">
        <f>STT!H80</f>
        <v>1.26</v>
      </c>
      <c r="I94" s="16">
        <f>STT!I80</f>
        <v>178</v>
      </c>
      <c r="J94" s="16">
        <f>STT!J80</f>
        <v>85.4</v>
      </c>
      <c r="K94" s="31">
        <f>STT!K80</f>
        <v>77</v>
      </c>
      <c r="L94" s="16">
        <f>STT!L80</f>
        <v>218.58333333333334</v>
      </c>
      <c r="M94" s="31" t="str">
        <f>STT!M80</f>
        <v>.16-03</v>
      </c>
      <c r="N94" s="16">
        <f>STT!N80</f>
        <v>286.76923076923077</v>
      </c>
      <c r="O94" s="16" t="str">
        <f>STT!O80</f>
        <v>.14-10</v>
      </c>
      <c r="P94" s="25">
        <f>STT!P80</f>
        <v>220</v>
      </c>
      <c r="Q94" s="16" t="str">
        <f>STT!Q80</f>
        <v>.15-04</v>
      </c>
      <c r="R94" s="31" t="str">
        <f>STT!R80</f>
        <v>keh</v>
      </c>
      <c r="S94" s="25">
        <f>STT!S80</f>
        <v>350</v>
      </c>
      <c r="T94" s="16" t="str">
        <f>STT!T80</f>
        <v>.09-08</v>
      </c>
      <c r="U94" s="31" t="str">
        <f>STT!U80</f>
        <v>v.v</v>
      </c>
    </row>
    <row r="95" spans="1:21">
      <c r="A95" s="143" t="str">
        <f>EFz!A25</f>
        <v>Canon</v>
      </c>
      <c r="B95" s="143" t="str">
        <f>EFz!B25</f>
        <v>EF 200-400/4 L IS 1.4x</v>
      </c>
      <c r="C95" s="16" t="str">
        <f>EFz!C25</f>
        <v>200-400</v>
      </c>
      <c r="D95" s="18" t="str">
        <f>EFz!D25</f>
        <v>4, 5.6</v>
      </c>
      <c r="E95" s="16" t="str">
        <f>EFz!E25</f>
        <v>320-640</v>
      </c>
      <c r="F95" s="85" t="str">
        <f>EFz!F25</f>
        <v>EF</v>
      </c>
      <c r="G95" s="58">
        <f>EFz!G25</f>
        <v>2</v>
      </c>
      <c r="H95" s="53">
        <f>EFz!H25</f>
        <v>3.62</v>
      </c>
      <c r="I95" s="16">
        <f>EFz!I25</f>
        <v>366</v>
      </c>
      <c r="J95" s="16">
        <f>EFz!J25</f>
        <v>128</v>
      </c>
      <c r="K95" s="31" t="str">
        <f>EFz!K25</f>
        <v>52di</v>
      </c>
      <c r="L95" s="16">
        <f>EFz!L25</f>
        <v>7521.666666666667</v>
      </c>
      <c r="M95" s="31" t="str">
        <f>EFz!M25</f>
        <v>.15-10</v>
      </c>
      <c r="N95" s="16">
        <f>EFz!N25</f>
        <v>8050</v>
      </c>
      <c r="O95" s="16" t="str">
        <f>EFz!O25</f>
        <v>.16-04</v>
      </c>
      <c r="P95" s="25">
        <f>EFz!P25</f>
        <v>9010</v>
      </c>
      <c r="Q95" s="16" t="str">
        <f>EFz!Q25</f>
        <v>.16-01</v>
      </c>
      <c r="R95" s="31" t="str">
        <f>EFz!R25</f>
        <v>LA</v>
      </c>
      <c r="S95" s="25">
        <f>EFz!S25</f>
        <v>9500</v>
      </c>
      <c r="T95" s="16" t="str">
        <f>EFz!T25</f>
        <v>.15-04</v>
      </c>
      <c r="U95" s="31" t="str">
        <f>EFz!U25</f>
        <v>b&amp;h</v>
      </c>
    </row>
    <row r="96" spans="1:21">
      <c r="A96" s="143" t="str">
        <f>STT!A44</f>
        <v>Sigma</v>
      </c>
      <c r="B96" s="143" t="str">
        <f>STT!B44</f>
        <v xml:space="preserve">EX 200-500/2.8 APO IF HSM </v>
      </c>
      <c r="C96" s="16" t="str">
        <f>STT!C44</f>
        <v>200-500</v>
      </c>
      <c r="D96" s="18">
        <f>STT!D44</f>
        <v>2.8</v>
      </c>
      <c r="E96" s="16" t="str">
        <f>STT!E44</f>
        <v>320-800</v>
      </c>
      <c r="F96" s="85" t="str">
        <f>STT!F44</f>
        <v>EF</v>
      </c>
      <c r="G96" s="58" t="str">
        <f>STT!G44</f>
        <v>2,5</v>
      </c>
      <c r="H96" s="53">
        <f>STT!H44</f>
        <v>15.7</v>
      </c>
      <c r="I96" s="16">
        <f>STT!I44</f>
        <v>726</v>
      </c>
      <c r="J96" s="16">
        <f>STT!J44</f>
        <v>236</v>
      </c>
      <c r="K96" s="31" t="str">
        <f>STT!K44</f>
        <v>72di</v>
      </c>
      <c r="L96" s="16">
        <f>STT!L44</f>
        <v>0</v>
      </c>
      <c r="M96" s="31" t="str">
        <f>STT!M44</f>
        <v xml:space="preserve"> </v>
      </c>
      <c r="N96" s="16" t="str">
        <f>STT!N44</f>
        <v>(23.2k)</v>
      </c>
      <c r="O96" s="16" t="str">
        <f>STT!O44</f>
        <v>.09-04</v>
      </c>
      <c r="P96" s="25" t="str">
        <f>STT!P44</f>
        <v xml:space="preserve"> </v>
      </c>
      <c r="Q96" s="16" t="str">
        <f>STT!Q44</f>
        <v xml:space="preserve"> </v>
      </c>
      <c r="R96" s="31" t="str">
        <f>STT!R44</f>
        <v xml:space="preserve"> </v>
      </c>
      <c r="S96" s="25" t="str">
        <f>STT!S44</f>
        <v>17k</v>
      </c>
      <c r="T96" s="16" t="str">
        <f>STT!T44</f>
        <v>.16-02</v>
      </c>
      <c r="U96" s="31" t="str">
        <f>STT!U44</f>
        <v>b&amp;h</v>
      </c>
    </row>
    <row r="97" spans="1:23">
      <c r="A97" s="143" t="str">
        <f>STT!A81</f>
        <v>Tamron</v>
      </c>
      <c r="B97" s="143" t="str">
        <f>STT!B81</f>
        <v>SP 200-500/5.6 LD IF [31A]</v>
      </c>
      <c r="C97" s="16" t="str">
        <f>STT!C81</f>
        <v>200-500</v>
      </c>
      <c r="D97" s="18">
        <f>STT!D81</f>
        <v>5.6</v>
      </c>
      <c r="E97" s="16" t="str">
        <f>STT!E81</f>
        <v>320-800</v>
      </c>
      <c r="F97" s="85" t="str">
        <f>STT!F81</f>
        <v>A2</v>
      </c>
      <c r="G97" s="58">
        <f>STT!G81</f>
        <v>2.5</v>
      </c>
      <c r="H97" s="53">
        <f>STT!H81</f>
        <v>2.74</v>
      </c>
      <c r="I97" s="16">
        <f>STT!I81</f>
        <v>360.5</v>
      </c>
      <c r="J97" s="16">
        <f>STT!J81</f>
        <v>105</v>
      </c>
      <c r="K97" s="31">
        <f>STT!K81</f>
        <v>95</v>
      </c>
      <c r="L97" s="16">
        <f>STT!L81</f>
        <v>401.5</v>
      </c>
      <c r="M97" s="31" t="str">
        <f>STT!M81</f>
        <v>.16-05</v>
      </c>
      <c r="N97" s="16">
        <f>STT!N81</f>
        <v>463</v>
      </c>
      <c r="O97" s="16" t="str">
        <f>STT!O81</f>
        <v>.16-03</v>
      </c>
      <c r="P97" s="25">
        <f>STT!P81</f>
        <v>175</v>
      </c>
      <c r="Q97" s="16" t="str">
        <f>STT!Q81</f>
        <v>.16-01</v>
      </c>
      <c r="R97" s="31" t="str">
        <f>STT!R81</f>
        <v>keh</v>
      </c>
      <c r="S97" s="25" t="str">
        <f>STT!S81</f>
        <v xml:space="preserve"> </v>
      </c>
      <c r="T97" s="16" t="str">
        <f>STT!T81</f>
        <v xml:space="preserve"> </v>
      </c>
      <c r="U97" s="31" t="str">
        <f>STT!U81</f>
        <v xml:space="preserve"> </v>
      </c>
    </row>
    <row r="98" spans="1:23">
      <c r="A98" s="144" t="str">
        <f>STT!A82</f>
        <v>Tamron</v>
      </c>
      <c r="B98" s="144" t="str">
        <f>STT!B82</f>
        <v>SP 200-500/5.6-6.3 LD IF</v>
      </c>
      <c r="C98" s="27" t="str">
        <f>STT!C82</f>
        <v>200-500</v>
      </c>
      <c r="D98" s="41" t="str">
        <f>STT!D82</f>
        <v>5.6-6.3</v>
      </c>
      <c r="E98" s="27" t="str">
        <f>STT!E82</f>
        <v>320-800</v>
      </c>
      <c r="F98" s="86" t="str">
        <f>STT!F82</f>
        <v>EF</v>
      </c>
      <c r="G98" s="55">
        <f>STT!G82</f>
        <v>2.5</v>
      </c>
      <c r="H98" s="56">
        <f>STT!H82</f>
        <v>1.2370000000000001</v>
      </c>
      <c r="I98" s="27">
        <f>STT!I82</f>
        <v>227</v>
      </c>
      <c r="J98" s="27">
        <f>STT!J82</f>
        <v>93.5</v>
      </c>
      <c r="K98" s="33">
        <f>STT!K82</f>
        <v>86</v>
      </c>
      <c r="L98" s="27">
        <f>STT!L82</f>
        <v>355.14285714285717</v>
      </c>
      <c r="M98" s="33" t="str">
        <f>STT!M82</f>
        <v>.16-05</v>
      </c>
      <c r="N98" s="27">
        <f>STT!N82</f>
        <v>676.63636363636363</v>
      </c>
      <c r="O98" s="27" t="str">
        <f>STT!O82</f>
        <v>.15-08</v>
      </c>
      <c r="P98" s="26">
        <f>STT!P82</f>
        <v>400</v>
      </c>
      <c r="Q98" s="27" t="str">
        <f>STT!Q82</f>
        <v>.16-01</v>
      </c>
      <c r="R98" s="33" t="str">
        <f>STT!R82</f>
        <v>ado</v>
      </c>
      <c r="S98" s="26">
        <f>STT!S82</f>
        <v>730</v>
      </c>
      <c r="T98" s="27" t="str">
        <f>STT!T82</f>
        <v>.15-04</v>
      </c>
      <c r="U98" s="33" t="str">
        <f>STT!U82</f>
        <v>LA</v>
      </c>
    </row>
    <row r="99" spans="1:23">
      <c r="A99" s="144" t="str">
        <f>STT!A45</f>
        <v>Sigma</v>
      </c>
      <c r="B99" s="144" t="str">
        <f>STT!B45</f>
        <v xml:space="preserve">EX 300-800/5.6 APO IF HSM </v>
      </c>
      <c r="C99" s="27" t="str">
        <f>STT!C45</f>
        <v>300-800</v>
      </c>
      <c r="D99" s="41">
        <f>STT!D45</f>
        <v>5.6</v>
      </c>
      <c r="E99" s="27" t="str">
        <f>STT!E45</f>
        <v>480-1280</v>
      </c>
      <c r="F99" s="86" t="str">
        <f>STT!F45</f>
        <v>EF</v>
      </c>
      <c r="G99" s="55">
        <f>STT!G45</f>
        <v>6</v>
      </c>
      <c r="H99" s="56">
        <f>STT!H45</f>
        <v>5.87</v>
      </c>
      <c r="I99" s="27">
        <f>STT!I45</f>
        <v>541.5</v>
      </c>
      <c r="J99" s="27">
        <f>STT!J45</f>
        <v>165.5</v>
      </c>
      <c r="K99" s="33" t="str">
        <f>STT!K45</f>
        <v>46di</v>
      </c>
      <c r="L99" s="27">
        <f>STT!L45</f>
        <v>4338.3999999999996</v>
      </c>
      <c r="M99" s="33" t="str">
        <f>STT!M45</f>
        <v>.15-03</v>
      </c>
      <c r="N99" s="27">
        <f>STT!N45</f>
        <v>5587</v>
      </c>
      <c r="O99" s="27" t="str">
        <f>STT!O45</f>
        <v>.15-02</v>
      </c>
      <c r="P99" s="26" t="str">
        <f>STT!P45</f>
        <v xml:space="preserve"> </v>
      </c>
      <c r="Q99" s="27" t="str">
        <f>STT!Q45</f>
        <v xml:space="preserve"> </v>
      </c>
      <c r="R99" s="33" t="str">
        <f>STT!R45</f>
        <v xml:space="preserve"> </v>
      </c>
      <c r="S99" s="26">
        <f>STT!S45</f>
        <v>4850</v>
      </c>
      <c r="T99" s="27" t="str">
        <f>STT!T45</f>
        <v>.12-01</v>
      </c>
      <c r="U99" s="33" t="str">
        <f>STT!U45</f>
        <v>ado</v>
      </c>
    </row>
    <row r="100" spans="1:23">
      <c r="A100" s="144" t="str">
        <f>LNOP!A69</f>
        <v>Nikon</v>
      </c>
      <c r="B100" s="144" t="str">
        <f>LNOP!B69</f>
        <v>Nikkor 1200-1700/5.6-8*ED MF</v>
      </c>
      <c r="C100" s="27" t="str">
        <f>LNOP!C69</f>
        <v>1.2k-1.7k</v>
      </c>
      <c r="D100" s="41" t="str">
        <f>LNOP!D69</f>
        <v>5.6-8</v>
      </c>
      <c r="E100" s="27" t="str">
        <f>LNOP!E69</f>
        <v xml:space="preserve"> </v>
      </c>
      <c r="F100" s="86" t="str">
        <f>LNOP!F69</f>
        <v>AIS</v>
      </c>
      <c r="G100" s="55">
        <f>LNOP!G69</f>
        <v>10</v>
      </c>
      <c r="H100" s="56">
        <f>LNOP!H69</f>
        <v>16</v>
      </c>
      <c r="I100" s="27">
        <f>LNOP!I69</f>
        <v>880</v>
      </c>
      <c r="J100" s="27">
        <f>LNOP!J69</f>
        <v>237</v>
      </c>
      <c r="K100" s="33" t="str">
        <f>LNOP!K69</f>
        <v>52 di</v>
      </c>
      <c r="L100" s="27">
        <f>LNOP!L69</f>
        <v>0</v>
      </c>
      <c r="M100" s="33" t="str">
        <f>LNOP!M69</f>
        <v xml:space="preserve"> </v>
      </c>
      <c r="N100" s="27">
        <f>LNOP!N69</f>
        <v>0</v>
      </c>
      <c r="O100" s="27" t="str">
        <f>LNOP!O69</f>
        <v xml:space="preserve"> </v>
      </c>
      <c r="P100" s="26" t="str">
        <f>LNOP!P69</f>
        <v xml:space="preserve"> </v>
      </c>
      <c r="Q100" s="27" t="str">
        <f>LNOP!Q69</f>
        <v xml:space="preserve"> </v>
      </c>
      <c r="R100" s="33" t="str">
        <f>LNOP!R69</f>
        <v xml:space="preserve"> </v>
      </c>
      <c r="S100" s="26" t="str">
        <f>LNOP!S69</f>
        <v xml:space="preserve"> </v>
      </c>
      <c r="T100" s="27" t="str">
        <f>LNOP!T69</f>
        <v xml:space="preserve"> </v>
      </c>
      <c r="U100" s="33" t="str">
        <f>LNOP!U69</f>
        <v xml:space="preserve"> </v>
      </c>
    </row>
    <row r="103" spans="1:23" s="37" customFormat="1" ht="12.6" customHeight="1">
      <c r="B103" s="63"/>
      <c r="C103" s="305" t="s">
        <v>6</v>
      </c>
      <c r="D103" s="306" t="s">
        <v>11</v>
      </c>
      <c r="E103" s="306" t="s">
        <v>760</v>
      </c>
      <c r="F103" s="122" t="s">
        <v>13</v>
      </c>
      <c r="G103" s="52" t="s">
        <v>277</v>
      </c>
      <c r="H103" s="130" t="s">
        <v>7</v>
      </c>
      <c r="I103" s="90" t="s">
        <v>325</v>
      </c>
      <c r="J103" s="90" t="s">
        <v>326</v>
      </c>
      <c r="K103" s="83" t="s">
        <v>327</v>
      </c>
      <c r="L103" s="307" t="s">
        <v>506</v>
      </c>
      <c r="M103" s="29"/>
      <c r="N103" s="308" t="s">
        <v>19</v>
      </c>
      <c r="O103" s="28"/>
      <c r="P103" s="54"/>
      <c r="Q103" s="28" t="s">
        <v>507</v>
      </c>
      <c r="R103" s="29"/>
      <c r="S103" s="127"/>
      <c r="T103" s="29" t="s">
        <v>9</v>
      </c>
      <c r="U103" s="29"/>
      <c r="W103" s="18"/>
    </row>
    <row r="104" spans="1:23" s="19" customFormat="1" ht="12.6" customHeight="1">
      <c r="A104" s="21" t="s">
        <v>1093</v>
      </c>
      <c r="B104" s="22"/>
      <c r="C104" s="26" t="s">
        <v>20</v>
      </c>
      <c r="D104" s="41" t="s">
        <v>16</v>
      </c>
      <c r="E104" s="33" t="s">
        <v>20</v>
      </c>
      <c r="F104" s="27" t="s">
        <v>16</v>
      </c>
      <c r="G104" s="55" t="s">
        <v>37</v>
      </c>
      <c r="H104" s="56" t="s">
        <v>21</v>
      </c>
      <c r="I104" s="27" t="s">
        <v>20</v>
      </c>
      <c r="J104" s="27" t="s">
        <v>20</v>
      </c>
      <c r="K104" s="41" t="s">
        <v>20</v>
      </c>
      <c r="L104" s="26" t="s">
        <v>22</v>
      </c>
      <c r="M104" s="24" t="s">
        <v>23</v>
      </c>
      <c r="N104" s="26" t="s">
        <v>22</v>
      </c>
      <c r="O104" s="124" t="s">
        <v>23</v>
      </c>
      <c r="P104" s="26" t="s">
        <v>22</v>
      </c>
      <c r="Q104" s="24" t="s">
        <v>23</v>
      </c>
      <c r="R104" s="33" t="s">
        <v>24</v>
      </c>
      <c r="S104" s="26" t="s">
        <v>22</v>
      </c>
      <c r="T104" s="24" t="s">
        <v>23</v>
      </c>
      <c r="U104" s="33" t="s">
        <v>24</v>
      </c>
      <c r="W104" s="17"/>
    </row>
    <row r="105" spans="1:23">
      <c r="A105" s="143" t="str">
        <f>STT!A94</f>
        <v>Tokina</v>
      </c>
      <c r="B105" s="143" t="str">
        <f>STT!B94</f>
        <v xml:space="preserve">AT-X 10-17/3.5-4.5 DX FE </v>
      </c>
      <c r="C105" s="16" t="str">
        <f>STT!C94</f>
        <v>10-17</v>
      </c>
      <c r="D105" s="18" t="str">
        <f>STT!D94</f>
        <v>3.5-4.5</v>
      </c>
      <c r="E105" s="16" t="str">
        <f>STT!E94</f>
        <v>16-27</v>
      </c>
      <c r="F105" s="85" t="str">
        <f>STT!F94</f>
        <v>EF-S</v>
      </c>
      <c r="G105" s="58">
        <f>STT!G94</f>
        <v>0.14000000000000001</v>
      </c>
      <c r="H105" s="53">
        <f>STT!H94</f>
        <v>0.35</v>
      </c>
      <c r="I105" s="16">
        <f>STT!I94</f>
        <v>71.5</v>
      </c>
      <c r="J105" s="16">
        <f>STT!J94</f>
        <v>68</v>
      </c>
      <c r="K105" s="31" t="str">
        <f>STT!K94</f>
        <v>x</v>
      </c>
      <c r="L105" s="16">
        <f>STT!L94</f>
        <v>323.91666666666669</v>
      </c>
      <c r="M105" s="31" t="str">
        <f>STT!M94</f>
        <v>.16-05</v>
      </c>
      <c r="N105" s="16">
        <f>STT!N94</f>
        <v>451</v>
      </c>
      <c r="O105" s="16" t="str">
        <f>STT!O94</f>
        <v>.14-11</v>
      </c>
      <c r="P105" s="25" t="str">
        <f>STT!P94</f>
        <v xml:space="preserve"> </v>
      </c>
      <c r="Q105" s="16" t="str">
        <f>STT!Q94</f>
        <v xml:space="preserve"> </v>
      </c>
      <c r="R105" s="31" t="str">
        <f>STT!R94</f>
        <v xml:space="preserve"> </v>
      </c>
      <c r="S105" s="25">
        <f>STT!S94</f>
        <v>375</v>
      </c>
      <c r="T105" s="16" t="str">
        <f>STT!T94</f>
        <v>.15-11</v>
      </c>
      <c r="U105" s="31" t="str">
        <f>STT!U94</f>
        <v>ado</v>
      </c>
    </row>
    <row r="106" spans="1:23">
      <c r="A106" s="143" t="str">
        <f>EFz!A40</f>
        <v>Canon</v>
      </c>
      <c r="B106" s="143" t="str">
        <f>EFz!B40</f>
        <v>EF-S 10-18/4.5-5.6 IS STM</v>
      </c>
      <c r="C106" s="16" t="str">
        <f>EFz!C40</f>
        <v>10-18</v>
      </c>
      <c r="D106" s="18" t="str">
        <f>EFz!D40</f>
        <v>4.5-5.6</v>
      </c>
      <c r="E106" s="16" t="str">
        <f>EFz!E40</f>
        <v>16-28</v>
      </c>
      <c r="F106" s="85" t="str">
        <f>EFz!F40</f>
        <v>EF-S</v>
      </c>
      <c r="G106" s="58">
        <f>EFz!G40</f>
        <v>0.22</v>
      </c>
      <c r="H106" s="53">
        <f>EFz!H40</f>
        <v>0.24</v>
      </c>
      <c r="I106" s="16">
        <f>EFz!I40</f>
        <v>72</v>
      </c>
      <c r="J106" s="16">
        <f>EFz!J40</f>
        <v>74.599999999999994</v>
      </c>
      <c r="K106" s="31">
        <f>EFz!K40</f>
        <v>67</v>
      </c>
      <c r="L106" s="16">
        <f>EFz!L40</f>
        <v>221.25</v>
      </c>
      <c r="M106" s="31" t="str">
        <f>EFz!M40</f>
        <v>.16-05</v>
      </c>
      <c r="N106" s="16">
        <f>EFz!N40</f>
        <v>280.875</v>
      </c>
      <c r="O106" s="16" t="str">
        <f>EFz!O40</f>
        <v>.16-05</v>
      </c>
      <c r="P106" s="25">
        <f>EFz!P40</f>
        <v>257</v>
      </c>
      <c r="Q106" s="16" t="str">
        <f>EFz!Q40</f>
        <v>.16-01</v>
      </c>
      <c r="R106" s="31" t="str">
        <f>EFz!R40</f>
        <v>keh</v>
      </c>
      <c r="S106" s="25">
        <f>EFz!S40</f>
        <v>268</v>
      </c>
      <c r="T106" s="16" t="str">
        <f>EFz!T40</f>
        <v>.16-01</v>
      </c>
      <c r="U106" s="31" t="str">
        <f>EFz!U40</f>
        <v>keh</v>
      </c>
    </row>
    <row r="107" spans="1:23">
      <c r="A107" s="143" t="str">
        <f>EFz!A41</f>
        <v>Canon</v>
      </c>
      <c r="B107" s="143" t="str">
        <f>EFz!B41</f>
        <v>EF-S 10-22/3.5-4.5 USM</v>
      </c>
      <c r="C107" s="16" t="str">
        <f>EFz!C41</f>
        <v>10-22</v>
      </c>
      <c r="D107" s="18" t="str">
        <f>EFz!D41</f>
        <v>3.5-4.5</v>
      </c>
      <c r="E107" s="16" t="str">
        <f>EFz!E41</f>
        <v>16-35</v>
      </c>
      <c r="F107" s="85" t="str">
        <f>EFz!F41</f>
        <v>EF-S</v>
      </c>
      <c r="G107" s="58">
        <f>EFz!G41</f>
        <v>0.24</v>
      </c>
      <c r="H107" s="53">
        <f>EFz!H41</f>
        <v>0.38500000000000001</v>
      </c>
      <c r="I107" s="16">
        <f>EFz!I41</f>
        <v>90</v>
      </c>
      <c r="J107" s="16">
        <f>EFz!J41</f>
        <v>83.5</v>
      </c>
      <c r="K107" s="31">
        <f>EFz!K41</f>
        <v>77</v>
      </c>
      <c r="L107" s="16">
        <f>EFz!L41</f>
        <v>333.1</v>
      </c>
      <c r="M107" s="31" t="str">
        <f>EFz!M41</f>
        <v>.16-05</v>
      </c>
      <c r="N107" s="16">
        <f>EFz!N41</f>
        <v>405.09090909090907</v>
      </c>
      <c r="O107" s="16" t="str">
        <f>EFz!O41</f>
        <v>.16-04</v>
      </c>
      <c r="P107" s="25">
        <f>EFz!P41</f>
        <v>313</v>
      </c>
      <c r="Q107" s="16" t="str">
        <f>EFz!Q41</f>
        <v>.16-01</v>
      </c>
      <c r="R107" s="31" t="str">
        <f>EFz!R41</f>
        <v>keh</v>
      </c>
      <c r="S107" s="25">
        <f>EFz!S41</f>
        <v>340</v>
      </c>
      <c r="T107" s="16" t="str">
        <f>EFz!T41</f>
        <v>.16-01</v>
      </c>
      <c r="U107" s="31" t="str">
        <f>EFz!U41</f>
        <v>keh</v>
      </c>
    </row>
    <row r="108" spans="1:23">
      <c r="A108" s="143" t="str">
        <f>STT!A95</f>
        <v>Tokina</v>
      </c>
      <c r="B108" s="143" t="str">
        <f>STT!B95</f>
        <v>AT-X 11-16/2.8 Pro DX Asp</v>
      </c>
      <c r="C108" s="16" t="str">
        <f>STT!C95</f>
        <v>11-16</v>
      </c>
      <c r="D108" s="18">
        <f>STT!D95</f>
        <v>2.8</v>
      </c>
      <c r="E108" s="16" t="str">
        <f>STT!E95</f>
        <v>18-26</v>
      </c>
      <c r="F108" s="85" t="str">
        <f>STT!F95</f>
        <v>EF-S</v>
      </c>
      <c r="G108" s="58">
        <f>STT!G95</f>
        <v>0.3</v>
      </c>
      <c r="H108" s="53">
        <f>STT!H95</f>
        <v>0.56000000000000005</v>
      </c>
      <c r="I108" s="16">
        <f>STT!I95</f>
        <v>89</v>
      </c>
      <c r="J108" s="16">
        <f>STT!J95</f>
        <v>84</v>
      </c>
      <c r="K108" s="31">
        <f>STT!K95</f>
        <v>77</v>
      </c>
      <c r="L108" s="16">
        <f>STT!L95</f>
        <v>302.33333333333331</v>
      </c>
      <c r="M108" s="31" t="str">
        <f>STT!M95</f>
        <v>.16-05</v>
      </c>
      <c r="N108" s="16">
        <f>STT!N95</f>
        <v>384.14285714285717</v>
      </c>
      <c r="O108" s="16" t="str">
        <f>STT!O95</f>
        <v>.16-03</v>
      </c>
      <c r="P108" s="25">
        <f>STT!P95</f>
        <v>367</v>
      </c>
      <c r="Q108" s="16" t="str">
        <f>STT!Q95</f>
        <v>.16-01</v>
      </c>
      <c r="R108" s="31" t="str">
        <f>STT!R95</f>
        <v>keh</v>
      </c>
      <c r="S108" s="25">
        <f>STT!S95</f>
        <v>400</v>
      </c>
      <c r="T108" s="16" t="str">
        <f>STT!T95</f>
        <v>.15-04</v>
      </c>
      <c r="U108" s="31" t="str">
        <f>STT!U95</f>
        <v>keh</v>
      </c>
    </row>
    <row r="109" spans="1:23">
      <c r="A109" s="143" t="str">
        <f>STT!A96</f>
        <v>Tokina</v>
      </c>
      <c r="B109" s="143" t="str">
        <f>STT!B96</f>
        <v>AT-X Pro 12-24/4 DG</v>
      </c>
      <c r="C109" s="16" t="str">
        <f>STT!C96</f>
        <v>12-24</v>
      </c>
      <c r="D109" s="18">
        <f>STT!D96</f>
        <v>4</v>
      </c>
      <c r="E109" s="16" t="str">
        <f>STT!E96</f>
        <v>19-38</v>
      </c>
      <c r="F109" s="85" t="str">
        <f>STT!F96</f>
        <v>EF-S</v>
      </c>
      <c r="G109" s="58">
        <f>STT!G96</f>
        <v>0.56999999999999995</v>
      </c>
      <c r="H109" s="53">
        <f>STT!H96</f>
        <v>0.3</v>
      </c>
      <c r="I109" s="16">
        <f>STT!I96</f>
        <v>89.5</v>
      </c>
      <c r="J109" s="16">
        <f>STT!J96</f>
        <v>84</v>
      </c>
      <c r="K109" s="31">
        <f>STT!K96</f>
        <v>77</v>
      </c>
      <c r="L109" s="16">
        <f>STT!L96</f>
        <v>317</v>
      </c>
      <c r="M109" s="31" t="str">
        <f>STT!M96</f>
        <v>.16-05</v>
      </c>
      <c r="N109" s="16">
        <f>STT!N96</f>
        <v>427.11111111111109</v>
      </c>
      <c r="O109" s="16" t="str">
        <f>STT!O96</f>
        <v>.16-04</v>
      </c>
      <c r="P109" s="25" t="str">
        <f>STT!P96</f>
        <v>265</v>
      </c>
      <c r="Q109" s="16" t="str">
        <f>STT!Q96</f>
        <v>.16-01</v>
      </c>
      <c r="R109" s="31" t="str">
        <f>STT!R96</f>
        <v>ado</v>
      </c>
      <c r="S109" s="25" t="str">
        <f>STT!S96</f>
        <v>300</v>
      </c>
      <c r="T109" s="16" t="str">
        <f>STT!T96</f>
        <v>.16-01</v>
      </c>
      <c r="U109" s="31" t="str">
        <f>STT!U96</f>
        <v>ado</v>
      </c>
    </row>
    <row r="110" spans="1:23">
      <c r="A110" s="143" t="str">
        <f>EFz!A42</f>
        <v>Canon</v>
      </c>
      <c r="B110" s="143" t="str">
        <f>EFz!B42</f>
        <v>EF-S 15-85/3.5-5.6 IS USM</v>
      </c>
      <c r="C110" s="16" t="str">
        <f>EFz!C42</f>
        <v>15-85</v>
      </c>
      <c r="D110" s="18" t="str">
        <f>EFz!D42</f>
        <v>3.5-5.6</v>
      </c>
      <c r="E110" s="16" t="str">
        <f>EFz!E42</f>
        <v>24-135</v>
      </c>
      <c r="F110" s="85" t="str">
        <f>EFz!F42</f>
        <v>EF-S</v>
      </c>
      <c r="G110" s="58">
        <f>EFz!G42</f>
        <v>0.35</v>
      </c>
      <c r="H110" s="53">
        <f>EFz!H42</f>
        <v>0.57499999999999996</v>
      </c>
      <c r="I110" s="16">
        <f>EFz!I42</f>
        <v>88</v>
      </c>
      <c r="J110" s="16">
        <f>EFz!J42</f>
        <v>81.599999999999994</v>
      </c>
      <c r="K110" s="31">
        <f>EFz!K42</f>
        <v>72</v>
      </c>
      <c r="L110" s="16">
        <f>EFz!L42</f>
        <v>313.625</v>
      </c>
      <c r="M110" s="31" t="str">
        <f>EFz!M42</f>
        <v>.16-05</v>
      </c>
      <c r="N110" s="16">
        <f>EFz!N42</f>
        <v>423.41666666666669</v>
      </c>
      <c r="O110" s="16" t="str">
        <f>EFz!O42</f>
        <v>.16-05</v>
      </c>
      <c r="P110" s="25">
        <f>EFz!P42</f>
        <v>361</v>
      </c>
      <c r="Q110" s="16" t="str">
        <f>EFz!Q42</f>
        <v>.16-01</v>
      </c>
      <c r="R110" s="31" t="str">
        <f>EFz!R42</f>
        <v>ctc</v>
      </c>
      <c r="S110" s="25">
        <f>EFz!S42</f>
        <v>545</v>
      </c>
      <c r="T110" s="16" t="str">
        <f>EFz!T42</f>
        <v>.16-01</v>
      </c>
      <c r="U110" s="31" t="str">
        <f>EFz!U42</f>
        <v>jack's</v>
      </c>
    </row>
    <row r="111" spans="1:23">
      <c r="A111" s="143" t="str">
        <f>EFz!A43</f>
        <v>Canon</v>
      </c>
      <c r="B111" s="143" t="str">
        <f>EFz!B43</f>
        <v>EF-S 17-55/2.8 IS USM</v>
      </c>
      <c r="C111" s="16" t="str">
        <f>EFz!C43</f>
        <v>17-55</v>
      </c>
      <c r="D111" s="18">
        <f>EFz!D43</f>
        <v>2.8</v>
      </c>
      <c r="E111" s="16" t="str">
        <f>EFz!E43</f>
        <v>27-88</v>
      </c>
      <c r="F111" s="85" t="str">
        <f>EFz!F43</f>
        <v>EF-S</v>
      </c>
      <c r="G111" s="58">
        <f>EFz!G43</f>
        <v>0.35</v>
      </c>
      <c r="H111" s="53">
        <f>EFz!H43</f>
        <v>0.64500000000000002</v>
      </c>
      <c r="I111" s="16">
        <f>EFz!I43</f>
        <v>110</v>
      </c>
      <c r="J111" s="16">
        <f>EFz!J43</f>
        <v>84</v>
      </c>
      <c r="K111" s="31">
        <f>EFz!K43</f>
        <v>77</v>
      </c>
      <c r="L111" s="16">
        <f>EFz!L43</f>
        <v>432.5</v>
      </c>
      <c r="M111" s="31" t="str">
        <f>EFz!M43</f>
        <v>.16-05</v>
      </c>
      <c r="N111" s="16">
        <f>EFz!N43</f>
        <v>567.92307692307691</v>
      </c>
      <c r="O111" s="16" t="str">
        <f>EFz!O43</f>
        <v>.16-05</v>
      </c>
      <c r="P111" s="25">
        <f>EFz!P43</f>
        <v>572</v>
      </c>
      <c r="Q111" s="16" t="str">
        <f>EFz!Q43</f>
        <v>.16-01</v>
      </c>
      <c r="R111" s="31" t="str">
        <f>EFz!R43</f>
        <v>keh</v>
      </c>
      <c r="S111" s="25">
        <f>EFz!S43</f>
        <v>604.20000000000005</v>
      </c>
      <c r="T111" s="16" t="str">
        <f>EFz!T43</f>
        <v>.16-05</v>
      </c>
      <c r="U111" s="31" t="str">
        <f>EFz!U43</f>
        <v>d'town</v>
      </c>
    </row>
    <row r="112" spans="1:23">
      <c r="A112" s="143" t="str">
        <f>EFz!A44</f>
        <v>Canon</v>
      </c>
      <c r="B112" s="143" t="str">
        <f>EFz!B44</f>
        <v>EF-S 18-55/3.5-5.6 IS STM</v>
      </c>
      <c r="C112" s="16" t="str">
        <f>EFz!C44</f>
        <v>18-55</v>
      </c>
      <c r="D112" s="18" t="str">
        <f>EFz!D44</f>
        <v>3.5-5.6</v>
      </c>
      <c r="E112" s="16" t="str">
        <f>EFz!E44</f>
        <v>29-88</v>
      </c>
      <c r="F112" s="85" t="str">
        <f>EFz!F44</f>
        <v>EF-S</v>
      </c>
      <c r="G112" s="58">
        <f>EFz!G44</f>
        <v>0.25</v>
      </c>
      <c r="H112" s="53">
        <f>EFz!H44</f>
        <v>0.20499999999999999</v>
      </c>
      <c r="I112" s="16">
        <f>EFz!I44</f>
        <v>75.2</v>
      </c>
      <c r="J112" s="16">
        <f>EFz!J44</f>
        <v>69</v>
      </c>
      <c r="K112" s="31">
        <f>EFz!K44</f>
        <v>52</v>
      </c>
      <c r="L112" s="16">
        <f>EFz!L44</f>
        <v>80</v>
      </c>
      <c r="M112" s="31" t="str">
        <f>EFz!M44</f>
        <v>.16-01</v>
      </c>
      <c r="N112" s="16">
        <f>EFz!N44</f>
        <v>105.6</v>
      </c>
      <c r="O112" s="16" t="str">
        <f>EFz!O44</f>
        <v>.16-01</v>
      </c>
      <c r="P112" s="25">
        <f>EFz!P44</f>
        <v>76</v>
      </c>
      <c r="Q112" s="16" t="str">
        <f>EFz!Q44</f>
        <v>.16-01</v>
      </c>
      <c r="R112" s="31" t="str">
        <f>EFz!R44</f>
        <v>keh</v>
      </c>
      <c r="S112" s="25">
        <f>EFz!S44</f>
        <v>105</v>
      </c>
      <c r="T112" s="16" t="str">
        <f>EFz!T44</f>
        <v>.16-01</v>
      </c>
      <c r="U112" s="31" t="str">
        <f>EFz!U44</f>
        <v>keh</v>
      </c>
    </row>
    <row r="113" spans="1:21">
      <c r="A113" s="143" t="str">
        <f>EFz!A45</f>
        <v>Canon</v>
      </c>
      <c r="B113" s="143" t="str">
        <f>EFz!B45</f>
        <v>EF-S 18-135/3.5-5.6 IS STM</v>
      </c>
      <c r="C113" s="16" t="str">
        <f>EFz!C45</f>
        <v>18-135</v>
      </c>
      <c r="D113" s="18" t="str">
        <f>EFz!D45</f>
        <v>3.5-5.6</v>
      </c>
      <c r="E113" s="16" t="str">
        <f>EFz!E45</f>
        <v>29-216</v>
      </c>
      <c r="F113" s="85" t="str">
        <f>EFz!F45</f>
        <v>EF-S</v>
      </c>
      <c r="G113" s="58">
        <f>EFz!G45</f>
        <v>0.39</v>
      </c>
      <c r="H113" s="53">
        <f>EFz!H45</f>
        <v>0.48</v>
      </c>
      <c r="I113" s="16">
        <f>EFz!I45</f>
        <v>96</v>
      </c>
      <c r="J113" s="16">
        <f>EFz!J45</f>
        <v>76.599999999999994</v>
      </c>
      <c r="K113" s="31">
        <f>EFz!K45</f>
        <v>67</v>
      </c>
      <c r="L113" s="16">
        <f>EFz!L45</f>
        <v>146.30000000000001</v>
      </c>
      <c r="M113" s="31" t="str">
        <f>EFz!M45</f>
        <v>.16-05</v>
      </c>
      <c r="N113" s="16">
        <f>EFz!N45</f>
        <v>216.5</v>
      </c>
      <c r="O113" s="16" t="str">
        <f>EFz!O45</f>
        <v>.16-05</v>
      </c>
      <c r="P113" s="25">
        <f>EFz!P45</f>
        <v>300</v>
      </c>
      <c r="Q113" s="16" t="str">
        <f>EFz!Q45</f>
        <v>.16-01</v>
      </c>
      <c r="R113" s="31" t="str">
        <f>EFz!R45</f>
        <v>keh</v>
      </c>
      <c r="S113" s="25">
        <f>EFz!S45</f>
        <v>265</v>
      </c>
      <c r="T113" s="16" t="str">
        <f>EFz!T45</f>
        <v>.16-01</v>
      </c>
      <c r="U113" s="31" t="str">
        <f>EFz!U45</f>
        <v>jack's</v>
      </c>
    </row>
    <row r="114" spans="1:21">
      <c r="A114" s="143" t="str">
        <f>EFz!A46</f>
        <v>Canon</v>
      </c>
      <c r="B114" s="143" t="str">
        <f>EFz!B46</f>
        <v>EF-S 24-105/3.5-5.6 IS STM</v>
      </c>
      <c r="C114" s="16" t="str">
        <f>EFz!C46</f>
        <v>24-105</v>
      </c>
      <c r="D114" s="18" t="str">
        <f>EFz!D46</f>
        <v>3.5-5.6</v>
      </c>
      <c r="E114" s="16" t="str">
        <f>EFz!E46</f>
        <v>38-168</v>
      </c>
      <c r="F114" s="85" t="str">
        <f>EFz!F46</f>
        <v>EF-S</v>
      </c>
      <c r="G114" s="58">
        <f>EFz!G46</f>
        <v>0.4</v>
      </c>
      <c r="H114" s="53">
        <f>EFz!H46</f>
        <v>0.52500000000000002</v>
      </c>
      <c r="I114" s="16">
        <f>EFz!I46</f>
        <v>104</v>
      </c>
      <c r="J114" s="16">
        <f>EFz!J46</f>
        <v>83.4</v>
      </c>
      <c r="K114" s="31">
        <f>EFz!K46</f>
        <v>77</v>
      </c>
      <c r="L114" s="16">
        <f>EFz!L46</f>
        <v>294</v>
      </c>
      <c r="M114" s="31" t="str">
        <f>EFz!M46</f>
        <v>.16-01</v>
      </c>
      <c r="N114" s="16">
        <f>EFz!N46</f>
        <v>369.58625000000001</v>
      </c>
      <c r="O114" s="16" t="str">
        <f>EFz!O46</f>
        <v>.16-01</v>
      </c>
      <c r="P114" s="25">
        <f>EFz!P46</f>
        <v>500</v>
      </c>
      <c r="Q114" s="16" t="str">
        <f>EFz!Q46</f>
        <v>.16-01</v>
      </c>
      <c r="R114" s="31" t="str">
        <f>EFz!R46</f>
        <v>keh</v>
      </c>
      <c r="S114" s="25">
        <f>EFz!S46</f>
        <v>500</v>
      </c>
      <c r="T114" s="16" t="str">
        <f>EFz!T46</f>
        <v>.16-01</v>
      </c>
      <c r="U114" s="31" t="str">
        <f>EFz!U46</f>
        <v>ado</v>
      </c>
    </row>
    <row r="115" spans="1:21">
      <c r="A115" s="144" t="str">
        <f>EFz!A47</f>
        <v>Canon</v>
      </c>
      <c r="B115" s="144" t="str">
        <f>EFz!B47</f>
        <v>EF-S 55-250/4-5.6 IS STM</v>
      </c>
      <c r="C115" s="27" t="str">
        <f>EFz!C47</f>
        <v>55-250</v>
      </c>
      <c r="D115" s="41" t="str">
        <f>EFz!D47</f>
        <v>4-5.6</v>
      </c>
      <c r="E115" s="27" t="str">
        <f>EFz!E47</f>
        <v>88-400</v>
      </c>
      <c r="F115" s="86" t="str">
        <f>EFz!F47</f>
        <v>EF-S</v>
      </c>
      <c r="G115" s="55">
        <f>EFz!G47</f>
        <v>0.85</v>
      </c>
      <c r="H115" s="56">
        <f>EFz!H47</f>
        <v>0.375</v>
      </c>
      <c r="I115" s="27">
        <f>EFz!I47</f>
        <v>111.2</v>
      </c>
      <c r="J115" s="27">
        <f>EFz!J47</f>
        <v>70</v>
      </c>
      <c r="K115" s="33">
        <f>EFz!K47</f>
        <v>58</v>
      </c>
      <c r="L115" s="27">
        <f>EFz!L47</f>
        <v>125</v>
      </c>
      <c r="M115" s="33" t="str">
        <f>EFz!M47</f>
        <v>.16-05</v>
      </c>
      <c r="N115" s="27">
        <f>EFz!N47</f>
        <v>162.6</v>
      </c>
      <c r="O115" s="27" t="str">
        <f>EFz!O47</f>
        <v>.16-05</v>
      </c>
      <c r="P115" s="26">
        <f>EFz!P47</f>
        <v>98.04</v>
      </c>
      <c r="Q115" s="27" t="str">
        <f>EFz!Q47</f>
        <v>.15-10</v>
      </c>
      <c r="R115" s="33" t="str">
        <f>EFz!R47</f>
        <v>ctc</v>
      </c>
      <c r="S115" s="26">
        <f>EFz!S47</f>
        <v>170</v>
      </c>
      <c r="T115" s="27" t="str">
        <f>EFz!T47</f>
        <v>.16-01</v>
      </c>
      <c r="U115" s="33" t="str">
        <f>EFz!U47</f>
        <v>b&amp;h</v>
      </c>
    </row>
    <row r="117" spans="1:21">
      <c r="A117" s="21" t="s">
        <v>1094</v>
      </c>
      <c r="B117" s="22"/>
      <c r="C117" s="304"/>
      <c r="D117" s="304"/>
      <c r="E117" s="304"/>
      <c r="F117" s="304"/>
      <c r="G117" s="304"/>
      <c r="H117" s="304"/>
      <c r="I117" s="304"/>
      <c r="J117" s="304"/>
      <c r="K117" s="304"/>
      <c r="L117" s="304"/>
      <c r="M117" s="304"/>
      <c r="N117" s="304"/>
      <c r="O117" s="304"/>
      <c r="P117" s="304"/>
      <c r="Q117" s="304"/>
      <c r="R117" s="304"/>
      <c r="S117" s="304"/>
      <c r="T117" s="304"/>
      <c r="U117" s="304"/>
    </row>
    <row r="118" spans="1:21">
      <c r="A118" s="143" t="str">
        <f>XF!A17</f>
        <v>Fujifilm</v>
      </c>
      <c r="B118" s="143" t="str">
        <f>XF!B17</f>
        <v>Fujinon XF 10-24/4 OIS</v>
      </c>
      <c r="C118" s="16" t="str">
        <f>XF!C17</f>
        <v>10-24</v>
      </c>
      <c r="D118" s="18">
        <f>XF!D17</f>
        <v>4</v>
      </c>
      <c r="E118" s="16" t="str">
        <f>XF!E17</f>
        <v>15-35</v>
      </c>
      <c r="F118" s="85" t="str">
        <f>XF!F17</f>
        <v>X</v>
      </c>
      <c r="G118" s="58">
        <f>XF!G17</f>
        <v>0.24</v>
      </c>
      <c r="H118" s="53">
        <f>XF!H17</f>
        <v>0.41</v>
      </c>
      <c r="I118" s="16">
        <f>XF!I17</f>
        <v>87</v>
      </c>
      <c r="J118" s="16">
        <f>XF!J17</f>
        <v>78</v>
      </c>
      <c r="K118" s="31">
        <f>XF!K17</f>
        <v>72</v>
      </c>
      <c r="L118" s="16">
        <f>XF!L17</f>
        <v>650.77777777777783</v>
      </c>
      <c r="M118" s="31" t="str">
        <f>XF!M17</f>
        <v>.16-03</v>
      </c>
      <c r="N118" s="16">
        <f>XF!N17</f>
        <v>723.25</v>
      </c>
      <c r="O118" s="16" t="str">
        <f>XF!O17</f>
        <v>.16-05</v>
      </c>
      <c r="P118" s="25">
        <f>XF!P17</f>
        <v>650</v>
      </c>
      <c r="Q118" s="16" t="str">
        <f>XF!Q17</f>
        <v>.16-01</v>
      </c>
      <c r="R118" s="31" t="str">
        <f>XF!R17</f>
        <v>ado</v>
      </c>
      <c r="S118" s="25">
        <f>XF!S17</f>
        <v>570</v>
      </c>
      <c r="T118" s="16" t="str">
        <f>XF!T17</f>
        <v>.16-03</v>
      </c>
      <c r="U118" s="31" t="str">
        <f>XF!U17</f>
        <v>camtec</v>
      </c>
    </row>
    <row r="119" spans="1:21">
      <c r="A119" s="143" t="str">
        <f>XF!A18</f>
        <v>Fujifilm</v>
      </c>
      <c r="B119" s="143" t="str">
        <f>XF!B18</f>
        <v>FujinonXC16-50/3.5-5.6 OIS</v>
      </c>
      <c r="C119" s="16" t="str">
        <f>XF!C18</f>
        <v>16-50</v>
      </c>
      <c r="D119" s="18" t="str">
        <f>XF!D18</f>
        <v>3.5-5.6</v>
      </c>
      <c r="E119" s="16" t="str">
        <f>XF!E18</f>
        <v>24-75</v>
      </c>
      <c r="F119" s="85" t="str">
        <f>XF!F18</f>
        <v>X</v>
      </c>
      <c r="G119" s="58">
        <f>XF!G18</f>
        <v>0.3</v>
      </c>
      <c r="H119" s="53">
        <f>XF!H18</f>
        <v>0.19500000000000001</v>
      </c>
      <c r="I119" s="16">
        <f>XF!I18</f>
        <v>65.2</v>
      </c>
      <c r="J119" s="16">
        <f>XF!J18</f>
        <v>62.6</v>
      </c>
      <c r="K119" s="31">
        <f>XF!K18</f>
        <v>58</v>
      </c>
      <c r="L119" s="16">
        <f>XF!L18</f>
        <v>114.125</v>
      </c>
      <c r="M119" s="31" t="str">
        <f>XF!M18</f>
        <v>.16-05</v>
      </c>
      <c r="N119" s="16">
        <f>XF!N18</f>
        <v>171.8</v>
      </c>
      <c r="O119" s="16" t="str">
        <f>XF!O18</f>
        <v>.16-04</v>
      </c>
      <c r="P119" s="25">
        <f>XF!P18</f>
        <v>130</v>
      </c>
      <c r="Q119" s="16" t="str">
        <f>XF!Q18</f>
        <v>.16-01</v>
      </c>
      <c r="R119" s="31" t="str">
        <f>XF!R18</f>
        <v>LA</v>
      </c>
      <c r="S119" s="25">
        <f>XF!S18</f>
        <v>210</v>
      </c>
      <c r="T119" s="16" t="str">
        <f>XF!T18</f>
        <v>.16-01</v>
      </c>
      <c r="U119" s="31" t="str">
        <f>XF!U18</f>
        <v>keh</v>
      </c>
    </row>
    <row r="120" spans="1:21">
      <c r="A120" s="143" t="str">
        <f>XF!A19</f>
        <v>Fujifilm</v>
      </c>
      <c r="B120" s="143" t="str">
        <f>XF!B19</f>
        <v>Fujinon XF 16-55/2.8 RW R</v>
      </c>
      <c r="C120" s="16" t="str">
        <f>XF!C19</f>
        <v>16-55</v>
      </c>
      <c r="D120" s="18">
        <f>XF!D19</f>
        <v>2.8</v>
      </c>
      <c r="E120" s="16" t="str">
        <f>XF!E19</f>
        <v>24-85</v>
      </c>
      <c r="F120" s="85" t="str">
        <f>XF!F19</f>
        <v>X</v>
      </c>
      <c r="G120" s="58">
        <f>XF!G19</f>
        <v>0.3</v>
      </c>
      <c r="H120" s="53">
        <f>XF!H19</f>
        <v>0.65500000000000003</v>
      </c>
      <c r="I120" s="16">
        <f>XF!I19</f>
        <v>106</v>
      </c>
      <c r="J120" s="16">
        <f>XF!J19</f>
        <v>83.3</v>
      </c>
      <c r="K120" s="31">
        <f>XF!K19</f>
        <v>77</v>
      </c>
      <c r="L120" s="16">
        <f>XF!L19</f>
        <v>806.85714285714289</v>
      </c>
      <c r="M120" s="31" t="str">
        <f>XF!M19</f>
        <v>.16-05</v>
      </c>
      <c r="N120" s="16">
        <f>XF!N19</f>
        <v>869.66666666666663</v>
      </c>
      <c r="O120" s="16" t="str">
        <f>XF!O19</f>
        <v>.16-05</v>
      </c>
      <c r="P120" s="25" t="str">
        <f>XF!P19</f>
        <v xml:space="preserve"> </v>
      </c>
      <c r="Q120" s="16" t="str">
        <f>XF!Q19</f>
        <v xml:space="preserve"> </v>
      </c>
      <c r="R120" s="31" t="str">
        <f>XF!R19</f>
        <v xml:space="preserve"> </v>
      </c>
      <c r="S120" s="25">
        <f>XF!S19</f>
        <v>1000</v>
      </c>
      <c r="T120" s="16" t="str">
        <f>XF!T19</f>
        <v>.15-04</v>
      </c>
      <c r="U120" s="31" t="str">
        <f>XF!U19</f>
        <v>b&amp;h</v>
      </c>
    </row>
    <row r="121" spans="1:21">
      <c r="A121" s="143" t="str">
        <f>XF!A20</f>
        <v>Fujifilm</v>
      </c>
      <c r="B121" s="143" t="str">
        <f>XF!B20</f>
        <v>Fujinon XF 18-55/2.8-4 OIS</v>
      </c>
      <c r="C121" s="16" t="str">
        <f>XF!C20</f>
        <v>18-55</v>
      </c>
      <c r="D121" s="18" t="str">
        <f>XF!D20</f>
        <v>2.8-4</v>
      </c>
      <c r="E121" s="16" t="str">
        <f>XF!E20</f>
        <v>27-85</v>
      </c>
      <c r="F121" s="85" t="str">
        <f>XF!F20</f>
        <v>X</v>
      </c>
      <c r="G121" s="58">
        <f>XF!G20</f>
        <v>0.3</v>
      </c>
      <c r="H121" s="53">
        <f>XF!H20</f>
        <v>0.31</v>
      </c>
      <c r="I121" s="16">
        <f>XF!I20</f>
        <v>70.400000000000006</v>
      </c>
      <c r="J121" s="16">
        <f>XF!J20</f>
        <v>65</v>
      </c>
      <c r="K121" s="31">
        <f>XF!K20</f>
        <v>58</v>
      </c>
      <c r="L121" s="16">
        <f>XF!L20</f>
        <v>257</v>
      </c>
      <c r="M121" s="31" t="str">
        <f>XF!M20</f>
        <v>.16-05</v>
      </c>
      <c r="N121" s="16">
        <f>XF!N20</f>
        <v>362.7</v>
      </c>
      <c r="O121" s="16" t="str">
        <f>XF!O20</f>
        <v>.16-05</v>
      </c>
      <c r="P121" s="25">
        <f>XF!P20</f>
        <v>270</v>
      </c>
      <c r="Q121" s="16" t="str">
        <f>XF!Q20</f>
        <v>.16-01</v>
      </c>
      <c r="R121" s="31" t="str">
        <f>XF!R20</f>
        <v>keh</v>
      </c>
      <c r="S121" s="25">
        <f>XF!S20</f>
        <v>313</v>
      </c>
      <c r="T121" s="16" t="str">
        <f>XF!T20</f>
        <v>.16-01</v>
      </c>
      <c r="U121" s="31" t="str">
        <f>XF!U20</f>
        <v>keh</v>
      </c>
    </row>
    <row r="122" spans="1:21">
      <c r="A122" s="143" t="str">
        <f>XF!A21</f>
        <v>Fujifilm</v>
      </c>
      <c r="B122" s="143" t="str">
        <f>XF!B21</f>
        <v>Fujinon XF 18-135/2.8-4 OIS W R</v>
      </c>
      <c r="C122" s="16" t="str">
        <f>XF!C21</f>
        <v>18-135</v>
      </c>
      <c r="D122" s="18" t="str">
        <f>XF!D21</f>
        <v>3.5-5.6</v>
      </c>
      <c r="E122" s="16" t="str">
        <f>XF!E21</f>
        <v>27-200</v>
      </c>
      <c r="F122" s="85" t="str">
        <f>XF!F21</f>
        <v>X</v>
      </c>
      <c r="G122" s="58">
        <f>XF!G21</f>
        <v>0.45</v>
      </c>
      <c r="H122" s="53">
        <f>XF!H21</f>
        <v>0.49</v>
      </c>
      <c r="I122" s="16">
        <f>XF!I21</f>
        <v>97.8</v>
      </c>
      <c r="J122" s="16">
        <f>XF!J21</f>
        <v>75.7</v>
      </c>
      <c r="K122" s="31">
        <f>XF!K21</f>
        <v>67</v>
      </c>
      <c r="L122" s="16">
        <f>XF!L21</f>
        <v>424</v>
      </c>
      <c r="M122" s="31" t="str">
        <f>XF!M21</f>
        <v>.16-05</v>
      </c>
      <c r="N122" s="16">
        <f>XF!N21</f>
        <v>486</v>
      </c>
      <c r="O122" s="16" t="str">
        <f>XF!O21</f>
        <v>.16-05</v>
      </c>
      <c r="P122" s="25">
        <f>XF!P21</f>
        <v>455.24</v>
      </c>
      <c r="Q122" s="16" t="str">
        <f>XF!Q21</f>
        <v>.16-01</v>
      </c>
      <c r="R122" s="31" t="str">
        <f>XF!R21</f>
        <v>ctc</v>
      </c>
      <c r="S122" s="25">
        <f>XF!S21</f>
        <v>900</v>
      </c>
      <c r="T122" s="16" t="str">
        <f>XF!T21</f>
        <v>.15-01</v>
      </c>
      <c r="U122" s="31" t="str">
        <f>XF!U21</f>
        <v>b&amp;h</v>
      </c>
    </row>
    <row r="123" spans="1:21">
      <c r="A123" s="143" t="str">
        <f>XF!A22</f>
        <v>Fujifilm</v>
      </c>
      <c r="B123" s="143" t="str">
        <f>XF!B22</f>
        <v>Fujinon XF 50-140/2.8 OIS W R</v>
      </c>
      <c r="C123" s="16" t="str">
        <f>XF!C22</f>
        <v>50-140</v>
      </c>
      <c r="D123" s="18">
        <f>XF!D22</f>
        <v>2.8</v>
      </c>
      <c r="E123" s="16" t="str">
        <f>XF!E22</f>
        <v>75-210</v>
      </c>
      <c r="F123" s="85" t="str">
        <f>XF!F22</f>
        <v>X</v>
      </c>
      <c r="G123" s="58">
        <f>XF!G22</f>
        <v>1</v>
      </c>
      <c r="H123" s="53">
        <f>XF!H22</f>
        <v>0.995</v>
      </c>
      <c r="I123" s="16">
        <f>XF!I22</f>
        <v>175</v>
      </c>
      <c r="J123" s="16">
        <f>XF!J22</f>
        <v>82.9</v>
      </c>
      <c r="K123" s="31">
        <f>XF!K22</f>
        <v>72</v>
      </c>
      <c r="L123" s="16">
        <f>XF!L22</f>
        <v>1147.5999999999999</v>
      </c>
      <c r="M123" s="31" t="str">
        <f>XF!M22</f>
        <v>.16-04</v>
      </c>
      <c r="N123" s="16">
        <f>XF!N22</f>
        <v>1174.3333333333333</v>
      </c>
      <c r="O123" s="16" t="str">
        <f>XF!O22</f>
        <v>.16-05</v>
      </c>
      <c r="P123" s="25">
        <f>XF!P22</f>
        <v>1240</v>
      </c>
      <c r="Q123" s="16" t="str">
        <f>XF!Q22</f>
        <v>.16-01</v>
      </c>
      <c r="R123" s="31" t="str">
        <f>XF!R22</f>
        <v>ado</v>
      </c>
      <c r="S123" s="25">
        <f>XF!S22</f>
        <v>1600</v>
      </c>
      <c r="T123" s="16" t="str">
        <f>XF!T22</f>
        <v>.16-02</v>
      </c>
      <c r="U123" s="31" t="str">
        <f>XF!U22</f>
        <v>henry's</v>
      </c>
    </row>
    <row r="124" spans="1:21">
      <c r="A124" s="143" t="str">
        <f>XF!A23</f>
        <v>Fujifilm</v>
      </c>
      <c r="B124" s="143" t="str">
        <f>XF!B23</f>
        <v>FujinonXC50-230/4.5-6.7 OIS</v>
      </c>
      <c r="C124" s="16" t="str">
        <f>XF!C23</f>
        <v>50-230</v>
      </c>
      <c r="D124" s="18" t="str">
        <f>XF!D23</f>
        <v>4.5-6.7</v>
      </c>
      <c r="E124" s="16" t="str">
        <f>XF!E23</f>
        <v>75-345</v>
      </c>
      <c r="F124" s="85" t="str">
        <f>XF!F23</f>
        <v>X</v>
      </c>
      <c r="G124" s="58">
        <f>XF!G23</f>
        <v>1.1000000000000001</v>
      </c>
      <c r="H124" s="53" t="str">
        <f>XF!H23</f>
        <v xml:space="preserve"> </v>
      </c>
      <c r="I124" s="16">
        <f>XF!I23</f>
        <v>111</v>
      </c>
      <c r="J124" s="16">
        <f>XF!J23</f>
        <v>69.5</v>
      </c>
      <c r="K124" s="31">
        <f>XF!K23</f>
        <v>58</v>
      </c>
      <c r="L124" s="16">
        <f>XF!L23</f>
        <v>144.4</v>
      </c>
      <c r="M124" s="31" t="str">
        <f>XF!M23</f>
        <v>.16-05</v>
      </c>
      <c r="N124" s="16">
        <f>XF!N23</f>
        <v>205.81818181818181</v>
      </c>
      <c r="O124" s="16" t="str">
        <f>XF!O23</f>
        <v>.16-05</v>
      </c>
      <c r="P124" s="25">
        <f>XF!P23</f>
        <v>240</v>
      </c>
      <c r="Q124" s="16" t="str">
        <f>XF!Q23</f>
        <v>.16-01</v>
      </c>
      <c r="R124" s="31" t="str">
        <f>XF!R23</f>
        <v>keh</v>
      </c>
      <c r="S124" s="25">
        <f>XF!S23</f>
        <v>260</v>
      </c>
      <c r="T124" s="16" t="str">
        <f>XF!T23</f>
        <v>.15-04</v>
      </c>
      <c r="U124" s="31" t="str">
        <f>XF!U23</f>
        <v>b&amp;h</v>
      </c>
    </row>
    <row r="125" spans="1:21">
      <c r="A125" s="143" t="str">
        <f>XF!A24</f>
        <v>Fujifilm</v>
      </c>
      <c r="B125" s="143" t="str">
        <f>XF!B24</f>
        <v>Fujinon XF 55-200/3.5-4.8 OIS</v>
      </c>
      <c r="C125" s="16" t="str">
        <f>XF!C24</f>
        <v>55-200</v>
      </c>
      <c r="D125" s="18" t="str">
        <f>XF!D24</f>
        <v>3.5-4.8</v>
      </c>
      <c r="E125" s="16" t="str">
        <f>XF!E24</f>
        <v>85-300</v>
      </c>
      <c r="F125" s="85" t="str">
        <f>XF!F24</f>
        <v>X</v>
      </c>
      <c r="G125" s="58">
        <f>XF!G24</f>
        <v>1.1000000000000001</v>
      </c>
      <c r="H125" s="53">
        <f>XF!H24</f>
        <v>0.57999999999999996</v>
      </c>
      <c r="I125" s="16">
        <f>XF!I24</f>
        <v>118</v>
      </c>
      <c r="J125" s="16">
        <f>XF!J24</f>
        <v>75</v>
      </c>
      <c r="K125" s="31">
        <f>XF!K24</f>
        <v>62</v>
      </c>
      <c r="L125" s="16">
        <f>XF!L24</f>
        <v>310.5</v>
      </c>
      <c r="M125" s="31" t="str">
        <f>XF!M24</f>
        <v>.16-05</v>
      </c>
      <c r="N125" s="16">
        <f>XF!N24</f>
        <v>438.2</v>
      </c>
      <c r="O125" s="16" t="str">
        <f>XF!O24</f>
        <v>.16-05</v>
      </c>
      <c r="P125" s="25">
        <f>XF!P24</f>
        <v>371.64</v>
      </c>
      <c r="Q125" s="16" t="str">
        <f>XF!Q24</f>
        <v>.16-01</v>
      </c>
      <c r="R125" s="31" t="str">
        <f>XF!R24</f>
        <v>ctc</v>
      </c>
      <c r="S125" s="25">
        <f>XF!S24</f>
        <v>470</v>
      </c>
      <c r="T125" s="16" t="str">
        <f>XF!T24</f>
        <v>.16-01</v>
      </c>
      <c r="U125" s="31" t="str">
        <f>XF!U24</f>
        <v>LA</v>
      </c>
    </row>
    <row r="126" spans="1:21">
      <c r="A126" s="144" t="str">
        <f>XF!A25</f>
        <v>Fujifilm</v>
      </c>
      <c r="B126" s="144" t="str">
        <f>XF!B25</f>
        <v>Fujinon XF 100-400mm R LM OIS</v>
      </c>
      <c r="C126" s="27" t="str">
        <f>XF!C25</f>
        <v>100-400</v>
      </c>
      <c r="D126" s="41" t="str">
        <f>XF!D25</f>
        <v>4.5-5.6</v>
      </c>
      <c r="E126" s="27" t="str">
        <f>XF!E25</f>
        <v>150-600</v>
      </c>
      <c r="F126" s="86" t="str">
        <f>XF!F25</f>
        <v>X</v>
      </c>
      <c r="G126" s="55">
        <f>XF!G25</f>
        <v>1.75</v>
      </c>
      <c r="H126" s="56">
        <f>XF!H25</f>
        <v>1.375</v>
      </c>
      <c r="I126" s="27">
        <f>XF!I25</f>
        <v>210.5</v>
      </c>
      <c r="J126" s="27">
        <f>XF!J25</f>
        <v>94.8</v>
      </c>
      <c r="K126" s="33">
        <f>XF!K25</f>
        <v>82</v>
      </c>
      <c r="L126" s="27">
        <f>XF!L25</f>
        <v>1575</v>
      </c>
      <c r="M126" s="33" t="str">
        <f>XF!M25</f>
        <v>.16-05</v>
      </c>
      <c r="N126" s="27">
        <f>XF!N25</f>
        <v>0</v>
      </c>
      <c r="O126" s="27" t="str">
        <f>XF!O25</f>
        <v xml:space="preserve"> </v>
      </c>
      <c r="P126" s="26" t="str">
        <f>XF!P25</f>
        <v xml:space="preserve"> </v>
      </c>
      <c r="Q126" s="27" t="str">
        <f>XF!Q25</f>
        <v xml:space="preserve"> </v>
      </c>
      <c r="R126" s="33" t="str">
        <f>XF!R25</f>
        <v xml:space="preserve"> </v>
      </c>
      <c r="S126" s="26">
        <f>XF!S25</f>
        <v>1900</v>
      </c>
      <c r="T126" s="27" t="str">
        <f>XF!T25</f>
        <v>.16-02</v>
      </c>
      <c r="U126" s="33" t="str">
        <f>XF!U25</f>
        <v>b&amp;h</v>
      </c>
    </row>
  </sheetData>
  <sheetProtection password="990B" sheet="1" objects="1" scenarios="1"/>
  <sortState ref="A6:X114">
    <sortCondition ref="C6:C114"/>
    <sortCondition ref="D6:D114"/>
  </sortState>
  <conditionalFormatting sqref="M78:M82 O78:O82 M59:M70 O59:O70 O8:O9 M8:M9 M105:M106 O105:O106 M34:M45 O34:O45 M22:M32 O22:O32 M11:M20 O11:O20 O47:O51 M47:M51 O85:O86 M85:M86 M88:M91 O88:O91 O93:O97 M93:M97 M118:M126 O118:O126">
    <cfRule type="cellIs" dxfId="52" priority="42" stopIfTrue="1" operator="lessThan">
      <formula>".08-09"</formula>
    </cfRule>
  </conditionalFormatting>
  <conditionalFormatting sqref="O6 M6">
    <cfRule type="cellIs" dxfId="51" priority="41" stopIfTrue="1" operator="lessThan">
      <formula>".08-09"</formula>
    </cfRule>
  </conditionalFormatting>
  <conditionalFormatting sqref="M54:M55 O54:O55 O57 M57">
    <cfRule type="cellIs" dxfId="50" priority="38" stopIfTrue="1" operator="lessThan">
      <formula>".08-09"</formula>
    </cfRule>
  </conditionalFormatting>
  <conditionalFormatting sqref="O71:O72 M71:M72">
    <cfRule type="cellIs" dxfId="49" priority="36" stopIfTrue="1" operator="lessThan">
      <formula>".08-09"</formula>
    </cfRule>
  </conditionalFormatting>
  <conditionalFormatting sqref="O74:O75 M74:M75">
    <cfRule type="cellIs" dxfId="48" priority="35" stopIfTrue="1" operator="lessThan">
      <formula>".08-09"</formula>
    </cfRule>
  </conditionalFormatting>
  <conditionalFormatting sqref="O76 M76">
    <cfRule type="cellIs" dxfId="47" priority="34" stopIfTrue="1" operator="lessThan">
      <formula>".08-09"</formula>
    </cfRule>
  </conditionalFormatting>
  <conditionalFormatting sqref="O33 M33">
    <cfRule type="cellIs" dxfId="46" priority="33" stopIfTrue="1" operator="lessThan">
      <formula>".08-09"</formula>
    </cfRule>
  </conditionalFormatting>
  <conditionalFormatting sqref="O21 M21">
    <cfRule type="cellIs" dxfId="45" priority="32" stopIfTrue="1" operator="lessThan">
      <formula>".08-09"</formula>
    </cfRule>
  </conditionalFormatting>
  <conditionalFormatting sqref="O7 M7">
    <cfRule type="cellIs" dxfId="44" priority="31" stopIfTrue="1" operator="lessThan">
      <formula>".08-09"</formula>
    </cfRule>
  </conditionalFormatting>
  <conditionalFormatting sqref="M10 O10">
    <cfRule type="cellIs" dxfId="43" priority="30" stopIfTrue="1" operator="lessThan">
      <formula>".08-09"</formula>
    </cfRule>
  </conditionalFormatting>
  <conditionalFormatting sqref="M46 O46">
    <cfRule type="cellIs" dxfId="42" priority="29" stopIfTrue="1" operator="lessThan">
      <formula>".08-09"</formula>
    </cfRule>
  </conditionalFormatting>
  <conditionalFormatting sqref="M52 O52">
    <cfRule type="cellIs" dxfId="41" priority="28" stopIfTrue="1" operator="lessThan">
      <formula>".08-09"</formula>
    </cfRule>
  </conditionalFormatting>
  <conditionalFormatting sqref="M53 O53">
    <cfRule type="cellIs" dxfId="40" priority="27" stopIfTrue="1" operator="lessThan">
      <formula>".08-09"</formula>
    </cfRule>
  </conditionalFormatting>
  <conditionalFormatting sqref="M56 O56">
    <cfRule type="cellIs" dxfId="39" priority="26" stopIfTrue="1" operator="lessThan">
      <formula>".08-09"</formula>
    </cfRule>
  </conditionalFormatting>
  <conditionalFormatting sqref="M58 O58">
    <cfRule type="cellIs" dxfId="38" priority="25" stopIfTrue="1" operator="lessThan">
      <formula>".08-09"</formula>
    </cfRule>
  </conditionalFormatting>
  <conditionalFormatting sqref="M73 O73">
    <cfRule type="cellIs" dxfId="37" priority="24" stopIfTrue="1" operator="lessThan">
      <formula>".08-09"</formula>
    </cfRule>
  </conditionalFormatting>
  <conditionalFormatting sqref="M77 O77">
    <cfRule type="cellIs" dxfId="36" priority="23" stopIfTrue="1" operator="lessThan">
      <formula>".08-09"</formula>
    </cfRule>
  </conditionalFormatting>
  <conditionalFormatting sqref="M83 O83">
    <cfRule type="cellIs" dxfId="35" priority="22" stopIfTrue="1" operator="lessThan">
      <formula>".08-09"</formula>
    </cfRule>
  </conditionalFormatting>
  <conditionalFormatting sqref="M84 O84">
    <cfRule type="cellIs" dxfId="34" priority="21" stopIfTrue="1" operator="lessThan">
      <formula>".08-09"</formula>
    </cfRule>
  </conditionalFormatting>
  <conditionalFormatting sqref="M87 O87">
    <cfRule type="cellIs" dxfId="33" priority="20" stopIfTrue="1" operator="lessThan">
      <formula>".08-09"</formula>
    </cfRule>
  </conditionalFormatting>
  <conditionalFormatting sqref="M92 O92">
    <cfRule type="cellIs" dxfId="32" priority="19" stopIfTrue="1" operator="lessThan">
      <formula>".08-09"</formula>
    </cfRule>
  </conditionalFormatting>
  <conditionalFormatting sqref="M98 O98">
    <cfRule type="cellIs" dxfId="31" priority="18" stopIfTrue="1" operator="lessThan">
      <formula>".08-09"</formula>
    </cfRule>
  </conditionalFormatting>
  <conditionalFormatting sqref="M99 O99">
    <cfRule type="cellIs" dxfId="30" priority="17" stopIfTrue="1" operator="lessThan">
      <formula>".08-09"</formula>
    </cfRule>
  </conditionalFormatting>
  <conditionalFormatting sqref="M100 O100">
    <cfRule type="cellIs" dxfId="29" priority="16" stopIfTrue="1" operator="lessThan">
      <formula>".08-09"</formula>
    </cfRule>
  </conditionalFormatting>
  <conditionalFormatting sqref="M107:M114 O107:O114">
    <cfRule type="cellIs" dxfId="28" priority="3" stopIfTrue="1" operator="lessThan">
      <formula>".08-09"</formula>
    </cfRule>
  </conditionalFormatting>
  <conditionalFormatting sqref="M115 O115">
    <cfRule type="cellIs" dxfId="27" priority="2" stopIfTrue="1" operator="lessThan">
      <formula>".08-09"</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workbookViewId="0"/>
  </sheetViews>
  <sheetFormatPr defaultRowHeight="12.6" customHeight="1"/>
  <cols>
    <col min="1" max="1" width="8.7109375" style="163" customWidth="1"/>
    <col min="2" max="2" width="23.28515625" style="169" customWidth="1"/>
    <col min="3" max="3" width="6.28515625" style="164" customWidth="1"/>
    <col min="4" max="4" width="6.5703125" style="168" customWidth="1"/>
    <col min="5" max="5" width="6.5703125" style="167" customWidth="1"/>
    <col min="6" max="6" width="4.7109375" style="168" customWidth="1"/>
    <col min="7" max="10" width="4.7109375" style="164" customWidth="1"/>
    <col min="11" max="11" width="4.7109375" style="166" customWidth="1"/>
    <col min="12" max="12" width="6.140625" style="164" customWidth="1"/>
    <col min="13" max="13" width="5.28515625" style="166" customWidth="1"/>
    <col min="14" max="14" width="5.28515625" style="164" customWidth="1"/>
    <col min="15" max="16" width="5.28515625" style="166" customWidth="1"/>
    <col min="17" max="17" width="5.28515625" style="165" customWidth="1"/>
    <col min="18" max="20" width="5.28515625" style="166" customWidth="1"/>
    <col min="21" max="21" width="6.28515625" style="166" customWidth="1"/>
    <col min="22" max="22" width="2" style="163" customWidth="1"/>
    <col min="23" max="23" width="9.140625" style="166"/>
    <col min="24" max="24" width="5.85546875" style="166" customWidth="1"/>
    <col min="25" max="25" width="1.85546875" style="166" customWidth="1"/>
    <col min="26" max="27" width="5.85546875" style="166" customWidth="1"/>
    <col min="28" max="16384" width="9.140625" style="163"/>
  </cols>
  <sheetData>
    <row r="1" spans="1:27" s="149" customFormat="1" ht="15" customHeight="1">
      <c r="A1" s="158" t="s">
        <v>155</v>
      </c>
      <c r="B1" s="150"/>
      <c r="C1" s="151" t="s">
        <v>16</v>
      </c>
      <c r="D1" s="152" t="s">
        <v>16</v>
      </c>
      <c r="E1" s="151" t="s">
        <v>16</v>
      </c>
      <c r="F1" s="159" t="s">
        <v>16</v>
      </c>
      <c r="G1" s="153" t="s">
        <v>16</v>
      </c>
      <c r="H1" s="154" t="s">
        <v>16</v>
      </c>
      <c r="I1" s="155" t="s">
        <v>16</v>
      </c>
      <c r="J1" s="150" t="s">
        <v>16</v>
      </c>
      <c r="K1" s="155" t="s">
        <v>16</v>
      </c>
      <c r="L1" s="155" t="s">
        <v>16</v>
      </c>
      <c r="M1" s="156" t="s">
        <v>16</v>
      </c>
      <c r="N1" s="155" t="s">
        <v>16</v>
      </c>
      <c r="O1" s="156" t="s">
        <v>16</v>
      </c>
      <c r="P1" s="141" t="s">
        <v>16</v>
      </c>
      <c r="Q1" s="141" t="s">
        <v>16</v>
      </c>
      <c r="R1" s="157" t="s">
        <v>1002</v>
      </c>
      <c r="S1" s="157"/>
      <c r="T1" s="141" t="s">
        <v>16</v>
      </c>
      <c r="U1" s="157" t="s">
        <v>16</v>
      </c>
      <c r="V1" s="156" t="s">
        <v>16</v>
      </c>
      <c r="W1" s="142" t="s">
        <v>16</v>
      </c>
      <c r="X1" s="156" t="s">
        <v>16</v>
      </c>
      <c r="Y1" s="156"/>
      <c r="Z1" s="156"/>
      <c r="AA1" s="156"/>
    </row>
    <row r="2" spans="1:27" s="149" customFormat="1" ht="12.6" customHeight="1">
      <c r="A2" s="213" t="str">
        <f>i!A3</f>
        <v>v.31</v>
      </c>
      <c r="B2" s="150" t="s">
        <v>16</v>
      </c>
      <c r="C2" s="151" t="s">
        <v>16</v>
      </c>
      <c r="D2" s="152" t="s">
        <v>16</v>
      </c>
      <c r="E2" s="151" t="s">
        <v>16</v>
      </c>
      <c r="F2" s="170" t="s">
        <v>16</v>
      </c>
      <c r="G2" s="171" t="s">
        <v>16</v>
      </c>
      <c r="H2" s="170" t="s">
        <v>16</v>
      </c>
      <c r="I2" s="155" t="s">
        <v>16</v>
      </c>
      <c r="J2" s="155" t="s">
        <v>16</v>
      </c>
      <c r="K2" s="155" t="s">
        <v>16</v>
      </c>
      <c r="L2" s="157" t="s">
        <v>16</v>
      </c>
      <c r="M2" s="157" t="s">
        <v>16</v>
      </c>
      <c r="N2" s="172" t="s">
        <v>16</v>
      </c>
      <c r="O2" s="172" t="s">
        <v>16</v>
      </c>
      <c r="P2" s="172" t="s">
        <v>16</v>
      </c>
      <c r="Q2" s="172" t="s">
        <v>16</v>
      </c>
      <c r="R2" s="157" t="s">
        <v>16</v>
      </c>
      <c r="S2" s="172" t="s">
        <v>16</v>
      </c>
      <c r="T2" s="172" t="s">
        <v>16</v>
      </c>
      <c r="U2" s="157" t="s">
        <v>16</v>
      </c>
      <c r="V2" s="156" t="s">
        <v>16</v>
      </c>
      <c r="W2" s="156" t="s">
        <v>16</v>
      </c>
      <c r="X2" s="156" t="s">
        <v>16</v>
      </c>
      <c r="Y2" s="156"/>
      <c r="Z2" s="156"/>
      <c r="AA2" s="156"/>
    </row>
    <row r="3" spans="1:27" s="159" customFormat="1" ht="12.6" customHeight="1">
      <c r="A3" s="159" t="s">
        <v>16</v>
      </c>
      <c r="B3" s="150" t="s">
        <v>16</v>
      </c>
      <c r="C3" s="173" t="s">
        <v>16</v>
      </c>
      <c r="D3" s="174" t="s">
        <v>16</v>
      </c>
      <c r="E3" s="173" t="s">
        <v>16</v>
      </c>
      <c r="F3" s="175" t="s">
        <v>16</v>
      </c>
      <c r="G3" s="176" t="s">
        <v>16</v>
      </c>
      <c r="H3" s="177" t="s">
        <v>16</v>
      </c>
      <c r="I3" s="172" t="s">
        <v>16</v>
      </c>
      <c r="J3" s="172" t="s">
        <v>16</v>
      </c>
      <c r="K3" s="172" t="s">
        <v>16</v>
      </c>
      <c r="L3" s="178" t="s">
        <v>16</v>
      </c>
      <c r="M3" s="179" t="s">
        <v>16</v>
      </c>
      <c r="N3" s="180" t="s">
        <v>17</v>
      </c>
      <c r="O3" s="179" t="s">
        <v>16</v>
      </c>
      <c r="P3" s="178" t="s">
        <v>16</v>
      </c>
      <c r="Q3" s="179" t="s">
        <v>16</v>
      </c>
      <c r="R3" s="180" t="s">
        <v>18</v>
      </c>
      <c r="S3" s="179" t="s">
        <v>16</v>
      </c>
      <c r="T3" s="179" t="s">
        <v>16</v>
      </c>
      <c r="U3" s="181" t="s">
        <v>16</v>
      </c>
      <c r="V3" s="148" t="s">
        <v>16</v>
      </c>
      <c r="W3" s="148" t="s">
        <v>16</v>
      </c>
      <c r="X3" s="148" t="s">
        <v>16</v>
      </c>
      <c r="Y3" s="148"/>
      <c r="Z3" s="148"/>
      <c r="AA3" s="148"/>
    </row>
    <row r="4" spans="1:27" s="161" customFormat="1" ht="12.6" customHeight="1">
      <c r="A4" s="159" t="s">
        <v>147</v>
      </c>
      <c r="B4" s="182"/>
      <c r="C4" s="141" t="s">
        <v>6</v>
      </c>
      <c r="D4" s="183" t="s">
        <v>11</v>
      </c>
      <c r="E4" s="141" t="s">
        <v>702</v>
      </c>
      <c r="F4" s="184" t="s">
        <v>13</v>
      </c>
      <c r="G4" s="185" t="s">
        <v>277</v>
      </c>
      <c r="H4" s="183" t="s">
        <v>7</v>
      </c>
      <c r="I4" s="141" t="s">
        <v>325</v>
      </c>
      <c r="J4" s="141" t="s">
        <v>326</v>
      </c>
      <c r="K4" s="186" t="s">
        <v>327</v>
      </c>
      <c r="L4" s="187" t="s">
        <v>506</v>
      </c>
      <c r="M4" s="188"/>
      <c r="N4" s="189" t="s">
        <v>19</v>
      </c>
      <c r="O4" s="172"/>
      <c r="P4" s="190"/>
      <c r="Q4" s="191" t="s">
        <v>507</v>
      </c>
      <c r="R4" s="188"/>
      <c r="S4" s="192"/>
      <c r="T4" s="191" t="s">
        <v>9</v>
      </c>
      <c r="U4" s="188"/>
      <c r="V4" s="142" t="s">
        <v>16</v>
      </c>
      <c r="W4" s="142" t="s">
        <v>775</v>
      </c>
      <c r="X4" s="142" t="s">
        <v>777</v>
      </c>
      <c r="Y4" s="142"/>
      <c r="Z4" s="142"/>
      <c r="AA4" s="142"/>
    </row>
    <row r="5" spans="1:27" s="161" customFormat="1" ht="12.6" customHeight="1">
      <c r="A5" s="193" t="s">
        <v>16</v>
      </c>
      <c r="B5" s="194" t="s">
        <v>16</v>
      </c>
      <c r="C5" s="172" t="s">
        <v>20</v>
      </c>
      <c r="D5" s="177" t="s">
        <v>16</v>
      </c>
      <c r="E5" s="172" t="s">
        <v>16</v>
      </c>
      <c r="F5" s="195" t="s">
        <v>16</v>
      </c>
      <c r="G5" s="196" t="s">
        <v>37</v>
      </c>
      <c r="H5" s="177" t="s">
        <v>21</v>
      </c>
      <c r="I5" s="172" t="s">
        <v>20</v>
      </c>
      <c r="J5" s="172" t="s">
        <v>20</v>
      </c>
      <c r="K5" s="188" t="s">
        <v>20</v>
      </c>
      <c r="L5" s="197" t="s">
        <v>22</v>
      </c>
      <c r="M5" s="188" t="s">
        <v>23</v>
      </c>
      <c r="N5" s="172" t="s">
        <v>22</v>
      </c>
      <c r="O5" s="188" t="s">
        <v>23</v>
      </c>
      <c r="P5" s="172" t="s">
        <v>22</v>
      </c>
      <c r="Q5" s="172" t="s">
        <v>23</v>
      </c>
      <c r="R5" s="198" t="s">
        <v>24</v>
      </c>
      <c r="S5" s="172" t="s">
        <v>22</v>
      </c>
      <c r="T5" s="172" t="s">
        <v>23</v>
      </c>
      <c r="U5" s="198" t="s">
        <v>24</v>
      </c>
      <c r="V5" s="142" t="s">
        <v>16</v>
      </c>
      <c r="W5" s="160" t="s">
        <v>776</v>
      </c>
      <c r="X5" s="142" t="s">
        <v>16</v>
      </c>
      <c r="Y5" s="142"/>
      <c r="Z5" s="142"/>
      <c r="AA5" s="142"/>
    </row>
    <row r="6" spans="1:27" s="149" customFormat="1" ht="12.6" hidden="1" customHeight="1">
      <c r="A6" s="149" t="s">
        <v>16</v>
      </c>
      <c r="B6" s="199" t="s">
        <v>16</v>
      </c>
      <c r="C6" s="155" t="s">
        <v>16</v>
      </c>
      <c r="D6" s="170" t="s">
        <v>16</v>
      </c>
      <c r="E6" s="155" t="s">
        <v>16</v>
      </c>
      <c r="F6" s="170" t="s">
        <v>16</v>
      </c>
      <c r="G6" s="171" t="s">
        <v>16</v>
      </c>
      <c r="H6" s="170" t="s">
        <v>16</v>
      </c>
      <c r="I6" s="155" t="s">
        <v>16</v>
      </c>
      <c r="J6" s="155" t="s">
        <v>16</v>
      </c>
      <c r="K6" s="155" t="s">
        <v>16</v>
      </c>
      <c r="L6" s="155" t="s">
        <v>16</v>
      </c>
      <c r="M6" s="156" t="s">
        <v>16</v>
      </c>
      <c r="N6" s="155" t="s">
        <v>16</v>
      </c>
      <c r="O6" s="156" t="s">
        <v>16</v>
      </c>
      <c r="P6" s="155" t="s">
        <v>16</v>
      </c>
      <c r="Q6" s="156" t="s">
        <v>16</v>
      </c>
      <c r="R6" s="156" t="s">
        <v>16</v>
      </c>
      <c r="S6" s="141" t="s">
        <v>16</v>
      </c>
      <c r="T6" s="156" t="s">
        <v>16</v>
      </c>
      <c r="U6" s="156" t="s">
        <v>16</v>
      </c>
      <c r="V6" s="156" t="s">
        <v>16</v>
      </c>
      <c r="W6" s="156" t="s">
        <v>16</v>
      </c>
      <c r="X6" s="156" t="s">
        <v>16</v>
      </c>
      <c r="Y6" s="156"/>
      <c r="Z6" s="156"/>
      <c r="AA6" s="156"/>
    </row>
    <row r="7" spans="1:27" s="149" customFormat="1" ht="12" hidden="1" customHeight="1">
      <c r="A7" s="200" t="s">
        <v>38</v>
      </c>
      <c r="B7" s="200" t="s">
        <v>576</v>
      </c>
      <c r="C7" s="155">
        <v>40</v>
      </c>
      <c r="D7" s="201">
        <v>2.8</v>
      </c>
      <c r="E7" s="186">
        <v>64</v>
      </c>
      <c r="F7" s="202" t="s">
        <v>39</v>
      </c>
      <c r="G7" s="170">
        <v>0.3</v>
      </c>
      <c r="H7" s="171">
        <v>0.13</v>
      </c>
      <c r="I7" s="155">
        <v>22.9</v>
      </c>
      <c r="J7" s="155">
        <v>68.599999999999994</v>
      </c>
      <c r="K7" s="186">
        <v>52</v>
      </c>
      <c r="L7" s="203">
        <v>115.30769230769231</v>
      </c>
      <c r="M7" s="204" t="s">
        <v>701</v>
      </c>
      <c r="N7" s="203">
        <v>140</v>
      </c>
      <c r="O7" s="204" t="s">
        <v>696</v>
      </c>
      <c r="P7" s="155" t="s">
        <v>16</v>
      </c>
      <c r="Q7" s="155" t="s">
        <v>16</v>
      </c>
      <c r="R7" s="155" t="s">
        <v>16</v>
      </c>
      <c r="S7" s="203">
        <v>140</v>
      </c>
      <c r="T7" s="141" t="s">
        <v>637</v>
      </c>
      <c r="U7" s="186" t="s">
        <v>512</v>
      </c>
      <c r="V7" s="155" t="s">
        <v>16</v>
      </c>
      <c r="W7" s="156" t="s">
        <v>16</v>
      </c>
      <c r="X7" s="156" t="s">
        <v>16</v>
      </c>
      <c r="Y7" s="156"/>
      <c r="Z7" s="156"/>
      <c r="AA7" s="156"/>
    </row>
    <row r="8" spans="1:27" s="149" customFormat="1" ht="12" hidden="1" customHeight="1">
      <c r="A8" s="200" t="s">
        <v>34</v>
      </c>
      <c r="B8" s="200" t="s">
        <v>129</v>
      </c>
      <c r="C8" s="155">
        <v>45</v>
      </c>
      <c r="D8" s="201">
        <v>2.8</v>
      </c>
      <c r="E8" s="186">
        <v>72</v>
      </c>
      <c r="F8" s="202" t="s">
        <v>168</v>
      </c>
      <c r="G8" s="170">
        <v>0.6</v>
      </c>
      <c r="H8" s="171">
        <v>0.09</v>
      </c>
      <c r="I8" s="155">
        <v>18</v>
      </c>
      <c r="J8" s="155">
        <v>58</v>
      </c>
      <c r="K8" s="186">
        <v>49</v>
      </c>
      <c r="L8" s="203">
        <v>193.36363636363637</v>
      </c>
      <c r="M8" s="204" t="s">
        <v>677</v>
      </c>
      <c r="N8" s="203">
        <v>261.25</v>
      </c>
      <c r="O8" s="204" t="s">
        <v>639</v>
      </c>
      <c r="P8" s="155">
        <v>200</v>
      </c>
      <c r="Q8" s="155" t="s">
        <v>696</v>
      </c>
      <c r="R8" s="155" t="s">
        <v>623</v>
      </c>
      <c r="S8" s="203">
        <v>340</v>
      </c>
      <c r="T8" s="141" t="s">
        <v>677</v>
      </c>
      <c r="U8" s="186" t="s">
        <v>33</v>
      </c>
      <c r="V8" s="155" t="s">
        <v>16</v>
      </c>
      <c r="W8" s="156" t="s">
        <v>16</v>
      </c>
      <c r="X8" s="156" t="s">
        <v>16</v>
      </c>
      <c r="Y8" s="156"/>
      <c r="Z8" s="156"/>
      <c r="AA8" s="156"/>
    </row>
    <row r="9" spans="1:27" s="149" customFormat="1" ht="12" hidden="1" customHeight="1">
      <c r="A9" s="205" t="s">
        <v>141</v>
      </c>
      <c r="B9" s="205" t="s">
        <v>297</v>
      </c>
      <c r="C9" s="172">
        <v>40</v>
      </c>
      <c r="D9" s="206">
        <v>2</v>
      </c>
      <c r="E9" s="188">
        <v>64</v>
      </c>
      <c r="F9" s="207" t="s">
        <v>608</v>
      </c>
      <c r="G9" s="177">
        <v>0.38</v>
      </c>
      <c r="H9" s="176">
        <v>0.2</v>
      </c>
      <c r="I9" s="172">
        <v>23</v>
      </c>
      <c r="J9" s="172">
        <v>63.5</v>
      </c>
      <c r="K9" s="188">
        <v>52</v>
      </c>
      <c r="L9" s="197">
        <v>343.41666666666669</v>
      </c>
      <c r="M9" s="208" t="s">
        <v>696</v>
      </c>
      <c r="N9" s="197">
        <v>502.16666666666669</v>
      </c>
      <c r="O9" s="208" t="s">
        <v>560</v>
      </c>
      <c r="P9" s="172">
        <v>380</v>
      </c>
      <c r="Q9" s="172" t="s">
        <v>677</v>
      </c>
      <c r="R9" s="172" t="s">
        <v>30</v>
      </c>
      <c r="S9" s="197">
        <v>435</v>
      </c>
      <c r="T9" s="172" t="s">
        <v>492</v>
      </c>
      <c r="U9" s="188" t="s">
        <v>361</v>
      </c>
      <c r="V9" s="155" t="s">
        <v>16</v>
      </c>
      <c r="W9" s="156" t="s">
        <v>16</v>
      </c>
      <c r="X9" s="156" t="s">
        <v>16</v>
      </c>
      <c r="Y9" s="156"/>
      <c r="Z9" s="156"/>
      <c r="AA9" s="156"/>
    </row>
    <row r="10" spans="1:27" s="149" customFormat="1" ht="12.6" hidden="1" customHeight="1">
      <c r="A10" s="149" t="s">
        <v>16</v>
      </c>
      <c r="B10" s="199" t="s">
        <v>16</v>
      </c>
      <c r="C10" s="155" t="s">
        <v>16</v>
      </c>
      <c r="D10" s="170" t="s">
        <v>16</v>
      </c>
      <c r="E10" s="155" t="s">
        <v>16</v>
      </c>
      <c r="F10" s="170" t="s">
        <v>16</v>
      </c>
      <c r="G10" s="171" t="s">
        <v>16</v>
      </c>
      <c r="H10" s="170" t="s">
        <v>16</v>
      </c>
      <c r="I10" s="155" t="s">
        <v>16</v>
      </c>
      <c r="J10" s="155" t="s">
        <v>16</v>
      </c>
      <c r="K10" s="155" t="s">
        <v>16</v>
      </c>
      <c r="L10" s="155" t="s">
        <v>16</v>
      </c>
      <c r="M10" s="156" t="s">
        <v>16</v>
      </c>
      <c r="N10" s="155" t="s">
        <v>16</v>
      </c>
      <c r="O10" s="156" t="s">
        <v>16</v>
      </c>
      <c r="P10" s="155" t="s">
        <v>16</v>
      </c>
      <c r="Q10" s="156" t="s">
        <v>16</v>
      </c>
      <c r="R10" s="156" t="s">
        <v>16</v>
      </c>
      <c r="S10" s="141" t="s">
        <v>16</v>
      </c>
      <c r="T10" s="156" t="s">
        <v>16</v>
      </c>
      <c r="U10" s="156" t="s">
        <v>16</v>
      </c>
      <c r="V10" s="156" t="s">
        <v>16</v>
      </c>
      <c r="W10" s="156" t="s">
        <v>16</v>
      </c>
      <c r="X10" s="156" t="s">
        <v>16</v>
      </c>
      <c r="Y10" s="156"/>
      <c r="Z10" s="156"/>
      <c r="AA10" s="156"/>
    </row>
    <row r="12" spans="1:27" s="19" customFormat="1" ht="12.6" customHeight="1">
      <c r="A12" s="213" t="str">
        <f>LNOP!A78</f>
        <v>Olympus</v>
      </c>
      <c r="B12" s="161" t="str">
        <f>LNOP!B78</f>
        <v>Zuiko 28/2.8</v>
      </c>
      <c r="C12" s="142">
        <f>LNOP!C78</f>
        <v>28</v>
      </c>
      <c r="D12" s="142">
        <f>LNOP!D78</f>
        <v>2.8</v>
      </c>
      <c r="E12" s="142">
        <f>LNOP!E78</f>
        <v>44.800000000000004</v>
      </c>
      <c r="F12" s="214" t="str">
        <f>LNOP!F78</f>
        <v>OM</v>
      </c>
      <c r="G12" s="215">
        <f>LNOP!G78</f>
        <v>0.3</v>
      </c>
      <c r="H12" s="216">
        <f>LNOP!H78</f>
        <v>0.17</v>
      </c>
      <c r="I12" s="141">
        <f>LNOP!I78</f>
        <v>32</v>
      </c>
      <c r="J12" s="141">
        <f>LNOP!J78</f>
        <v>60</v>
      </c>
      <c r="K12" s="142">
        <f>LNOP!K78</f>
        <v>49</v>
      </c>
      <c r="L12" s="203">
        <f>LNOP!L78</f>
        <v>54.75</v>
      </c>
      <c r="M12" s="160" t="str">
        <f>LNOP!M78</f>
        <v>.16-05</v>
      </c>
      <c r="N12" s="203">
        <f>LNOP!N78</f>
        <v>106.66666666666667</v>
      </c>
      <c r="O12" s="160" t="str">
        <f>LNOP!O78</f>
        <v>.16-05</v>
      </c>
      <c r="P12" s="203" t="str">
        <f>LNOP!P78</f>
        <v xml:space="preserve"> </v>
      </c>
      <c r="Q12" s="160" t="str">
        <f>LNOP!Q78</f>
        <v xml:space="preserve"> </v>
      </c>
      <c r="R12" s="186" t="str">
        <f>LNOP!R78</f>
        <v xml:space="preserve"> </v>
      </c>
      <c r="S12" s="203" t="str">
        <f>LNOP!S78</f>
        <v xml:space="preserve"> </v>
      </c>
      <c r="T12" s="160" t="str">
        <f>LNOP!T78</f>
        <v xml:space="preserve"> </v>
      </c>
      <c r="U12" s="186" t="str">
        <f>LNOP!U78</f>
        <v xml:space="preserve"> </v>
      </c>
      <c r="V12" s="149"/>
      <c r="W12" s="141">
        <f t="shared" ref="W12:W19" si="0">I12*PI()*J12*J12*X12*X12/4000</f>
        <v>90.477868423386042</v>
      </c>
      <c r="X12" s="170">
        <v>1</v>
      </c>
      <c r="Y12" s="149"/>
    </row>
    <row r="13" spans="1:27" s="19" customFormat="1" ht="12.6" customHeight="1">
      <c r="A13" s="213" t="str">
        <f>LNOP!A77</f>
        <v>Olympus</v>
      </c>
      <c r="B13" s="161" t="str">
        <f>LNOP!B77</f>
        <v>Zuiko 28/2</v>
      </c>
      <c r="C13" s="142">
        <f>LNOP!C77</f>
        <v>28</v>
      </c>
      <c r="D13" s="142">
        <f>LNOP!D77</f>
        <v>2</v>
      </c>
      <c r="E13" s="142">
        <f>LNOP!E77</f>
        <v>44.800000000000004</v>
      </c>
      <c r="F13" s="214" t="str">
        <f>LNOP!F77</f>
        <v>OM</v>
      </c>
      <c r="G13" s="215">
        <f>LNOP!G77</f>
        <v>0.3</v>
      </c>
      <c r="H13" s="216">
        <f>LNOP!H77</f>
        <v>0.245</v>
      </c>
      <c r="I13" s="141">
        <f>LNOP!I77</f>
        <v>43</v>
      </c>
      <c r="J13" s="141">
        <f>LNOP!J77</f>
        <v>60</v>
      </c>
      <c r="K13" s="142">
        <f>LNOP!K77</f>
        <v>49</v>
      </c>
      <c r="L13" s="203">
        <f>LNOP!L77</f>
        <v>200.75</v>
      </c>
      <c r="M13" s="160" t="str">
        <f>LNOP!M77</f>
        <v>.16-05</v>
      </c>
      <c r="N13" s="203">
        <f>LNOP!N77</f>
        <v>292.5</v>
      </c>
      <c r="O13" s="160" t="str">
        <f>LNOP!O77</f>
        <v>.16-05</v>
      </c>
      <c r="P13" s="203">
        <f>LNOP!P77</f>
        <v>300</v>
      </c>
      <c r="Q13" s="160" t="str">
        <f>LNOP!Q77</f>
        <v>.16-05</v>
      </c>
      <c r="R13" s="186" t="str">
        <f>LNOP!R77</f>
        <v>kenmore</v>
      </c>
      <c r="S13" s="203" t="str">
        <f>LNOP!S77</f>
        <v xml:space="preserve"> </v>
      </c>
      <c r="T13" s="160" t="str">
        <f>LNOP!T77</f>
        <v xml:space="preserve"> </v>
      </c>
      <c r="U13" s="186" t="str">
        <f>LNOP!U77</f>
        <v xml:space="preserve"> </v>
      </c>
      <c r="V13" s="149"/>
      <c r="W13" s="141">
        <f t="shared" si="0"/>
        <v>121.57963569392498</v>
      </c>
      <c r="X13" s="170">
        <v>1</v>
      </c>
      <c r="Y13" s="149"/>
    </row>
    <row r="14" spans="1:27" s="19" customFormat="1" ht="12.6" customHeight="1">
      <c r="A14" s="213" t="str">
        <f>LNOP!A122</f>
        <v>Pentax</v>
      </c>
      <c r="B14" s="161" t="str">
        <f>LNOP!B122</f>
        <v>SMC Pentax 30/2.8</v>
      </c>
      <c r="C14" s="142">
        <f>LNOP!C122</f>
        <v>30</v>
      </c>
      <c r="D14" s="142">
        <f>LNOP!D122</f>
        <v>2.8</v>
      </c>
      <c r="E14" s="142">
        <f>LNOP!E122</f>
        <v>44.800000000000004</v>
      </c>
      <c r="F14" s="214" t="str">
        <f>LNOP!F122</f>
        <v>K</v>
      </c>
      <c r="G14" s="215">
        <f>LNOP!G122</f>
        <v>0.3</v>
      </c>
      <c r="H14" s="216">
        <f>LNOP!H122</f>
        <v>0.215</v>
      </c>
      <c r="I14" s="141">
        <v>40</v>
      </c>
      <c r="J14" s="141">
        <v>63</v>
      </c>
      <c r="K14" s="142">
        <f>LNOP!K122</f>
        <v>52</v>
      </c>
      <c r="L14" s="203">
        <f>LNOP!L122</f>
        <v>235.16666666666666</v>
      </c>
      <c r="M14" s="160" t="str">
        <f>LNOP!M122</f>
        <v>.16-05</v>
      </c>
      <c r="N14" s="203">
        <f>LNOP!N122</f>
        <v>286.5</v>
      </c>
      <c r="O14" s="160" t="str">
        <f>LNOP!O122</f>
        <v>.16-04</v>
      </c>
      <c r="P14" s="203" t="str">
        <f>LNOP!P122</f>
        <v xml:space="preserve"> </v>
      </c>
      <c r="Q14" s="160" t="str">
        <f>LNOP!Q122</f>
        <v xml:space="preserve"> </v>
      </c>
      <c r="R14" s="186" t="str">
        <f>LNOP!R122</f>
        <v xml:space="preserve"> </v>
      </c>
      <c r="S14" s="203">
        <f>LNOP!S122</f>
        <v>650</v>
      </c>
      <c r="T14" s="160" t="str">
        <f>LNOP!T122</f>
        <v>.16-05</v>
      </c>
      <c r="U14" s="186" t="str">
        <f>LNOP!U122</f>
        <v>kevin</v>
      </c>
      <c r="V14" s="149"/>
      <c r="W14" s="141">
        <f t="shared" si="0"/>
        <v>124.6898124209789</v>
      </c>
      <c r="X14" s="170">
        <v>1</v>
      </c>
      <c r="Y14" s="149"/>
    </row>
    <row r="15" spans="1:27" s="19" customFormat="1" ht="12.6" customHeight="1">
      <c r="A15" s="213" t="str">
        <f>LNOP!A121</f>
        <v>Pentax</v>
      </c>
      <c r="B15" s="161" t="str">
        <f>LNOP!B121</f>
        <v>SMC Pentax 28/3.5</v>
      </c>
      <c r="C15" s="142">
        <f>LNOP!C121</f>
        <v>28</v>
      </c>
      <c r="D15" s="142">
        <f>LNOP!D121</f>
        <v>3.5</v>
      </c>
      <c r="E15" s="142">
        <f>LNOP!E121</f>
        <v>44.800000000000004</v>
      </c>
      <c r="F15" s="214" t="str">
        <f>LNOP!F121</f>
        <v>K</v>
      </c>
      <c r="G15" s="215">
        <f>LNOP!G121</f>
        <v>0.3</v>
      </c>
      <c r="H15" s="216">
        <f>LNOP!H121</f>
        <v>0.26100000000000001</v>
      </c>
      <c r="I15" s="141">
        <f>LNOP!I121</f>
        <v>47</v>
      </c>
      <c r="J15" s="141">
        <f>LNOP!J121</f>
        <v>63</v>
      </c>
      <c r="K15" s="142">
        <f>LNOP!K121</f>
        <v>52</v>
      </c>
      <c r="L15" s="203">
        <f>LNOP!L121</f>
        <v>122.27272727272727</v>
      </c>
      <c r="M15" s="160" t="str">
        <f>LNOP!M121</f>
        <v>.16-05</v>
      </c>
      <c r="N15" s="203">
        <f>LNOP!N121</f>
        <v>150</v>
      </c>
      <c r="O15" s="160" t="str">
        <f>LNOP!O121</f>
        <v>.16-05</v>
      </c>
      <c r="P15" s="203" t="str">
        <f>LNOP!P121</f>
        <v xml:space="preserve"> </v>
      </c>
      <c r="Q15" s="160" t="str">
        <f>LNOP!Q121</f>
        <v xml:space="preserve"> </v>
      </c>
      <c r="R15" s="186" t="str">
        <f>LNOP!R121</f>
        <v xml:space="preserve"> </v>
      </c>
      <c r="S15" s="203">
        <f>LNOP!S121</f>
        <v>330</v>
      </c>
      <c r="T15" s="160" t="str">
        <f>LNOP!T121</f>
        <v>.15-04</v>
      </c>
      <c r="U15" s="186" t="str">
        <f>LNOP!U121</f>
        <v>b&amp;h</v>
      </c>
      <c r="V15" s="149"/>
      <c r="W15" s="141">
        <f t="shared" si="0"/>
        <v>146.51052959465022</v>
      </c>
      <c r="X15" s="170">
        <v>1</v>
      </c>
      <c r="Y15" s="149"/>
    </row>
    <row r="16" spans="1:27" s="19" customFormat="1" ht="12.6" customHeight="1">
      <c r="A16" s="213" t="str">
        <f>CZ.V!A37</f>
        <v>Carl Zeiss</v>
      </c>
      <c r="B16" s="161" t="str">
        <f>CZ.V!B37</f>
        <v>Distagon T* 28/2.8 CY</v>
      </c>
      <c r="C16" s="142">
        <f>CZ.V!C37</f>
        <v>28</v>
      </c>
      <c r="D16" s="142">
        <f>CZ.V!D37</f>
        <v>2.8</v>
      </c>
      <c r="E16" s="142">
        <f>CZ.V!E37</f>
        <v>44.800000000000004</v>
      </c>
      <c r="F16" s="214" t="str">
        <f>CZ.V!F37</f>
        <v>CY</v>
      </c>
      <c r="G16" s="215">
        <f>CZ.V!G37</f>
        <v>0.25</v>
      </c>
      <c r="H16" s="216">
        <f>CZ.V!H37</f>
        <v>0.28000000000000003</v>
      </c>
      <c r="I16" s="141">
        <f>CZ.V!I37</f>
        <v>50</v>
      </c>
      <c r="J16" s="141">
        <f>CZ.V!J37</f>
        <v>63</v>
      </c>
      <c r="K16" s="142">
        <f>CZ.V!K37</f>
        <v>55</v>
      </c>
      <c r="L16" s="203">
        <f>CZ.V!L37</f>
        <v>254.81818181818181</v>
      </c>
      <c r="M16" s="160" t="str">
        <f>CZ.V!M37</f>
        <v>.16-05</v>
      </c>
      <c r="N16" s="203">
        <f>CZ.V!N37</f>
        <v>351.66666666666669</v>
      </c>
      <c r="O16" s="160" t="str">
        <f>CZ.V!O37</f>
        <v>.16-05</v>
      </c>
      <c r="P16" s="203">
        <f>CZ.V!P37</f>
        <v>350</v>
      </c>
      <c r="Q16" s="160" t="str">
        <f>CZ.V!Q37</f>
        <v>.16-05</v>
      </c>
      <c r="R16" s="186" t="str">
        <f>CZ.V!R37</f>
        <v>keh</v>
      </c>
      <c r="S16" s="203">
        <f>CZ.V!S37</f>
        <v>420</v>
      </c>
      <c r="T16" s="160" t="str">
        <f>CZ.V!T37</f>
        <v>.16-05</v>
      </c>
      <c r="U16" s="186" t="str">
        <f>CZ.V!U37</f>
        <v>keh</v>
      </c>
      <c r="V16" s="149"/>
      <c r="W16" s="141">
        <f t="shared" si="0"/>
        <v>155.86226552622361</v>
      </c>
      <c r="X16" s="170">
        <v>1</v>
      </c>
      <c r="Y16" s="149"/>
    </row>
    <row r="17" spans="1:25" s="19" customFormat="1" ht="12.6" customHeight="1">
      <c r="A17" s="213" t="str">
        <f>LNOP!A14</f>
        <v>Leica</v>
      </c>
      <c r="B17" s="161" t="str">
        <f>LNOP!B14</f>
        <v>Elmarit-R 28/2.8 E55 pre-ROM</v>
      </c>
      <c r="C17" s="142">
        <f>LNOP!C14</f>
        <v>28</v>
      </c>
      <c r="D17" s="142">
        <f>LNOP!D14</f>
        <v>2.8</v>
      </c>
      <c r="E17" s="142">
        <f>LNOP!E14</f>
        <v>44.8</v>
      </c>
      <c r="F17" s="214" t="str">
        <f>LNOP!F14</f>
        <v>LR</v>
      </c>
      <c r="G17" s="215">
        <f>LNOP!G14</f>
        <v>0.3</v>
      </c>
      <c r="H17" s="216">
        <f>LNOP!H14</f>
        <v>0.435</v>
      </c>
      <c r="I17" s="141">
        <f>LNOP!I14</f>
        <v>48</v>
      </c>
      <c r="J17" s="141">
        <f>LNOP!J14</f>
        <v>67.5</v>
      </c>
      <c r="K17" s="142">
        <f>LNOP!K14</f>
        <v>55</v>
      </c>
      <c r="L17" s="203">
        <f>LNOP!L14</f>
        <v>1527.75</v>
      </c>
      <c r="M17" s="160" t="str">
        <f>LNOP!M14</f>
        <v>.15-11</v>
      </c>
      <c r="N17" s="203">
        <f>LNOP!N14</f>
        <v>2115.6</v>
      </c>
      <c r="O17" s="160" t="str">
        <f>LNOP!O14</f>
        <v>.15-11</v>
      </c>
      <c r="P17" s="203">
        <f>LNOP!P14</f>
        <v>1800</v>
      </c>
      <c r="Q17" s="160" t="str">
        <f>LNOP!Q14</f>
        <v>.15-09</v>
      </c>
      <c r="R17" s="186" t="str">
        <f>LNOP!R14</f>
        <v>fm</v>
      </c>
      <c r="S17" s="203" t="str">
        <f>LNOP!S14</f>
        <v xml:space="preserve"> </v>
      </c>
      <c r="T17" s="160" t="str">
        <f>LNOP!T14</f>
        <v xml:space="preserve"> </v>
      </c>
      <c r="U17" s="186" t="str">
        <f>LNOP!U14</f>
        <v xml:space="preserve"> </v>
      </c>
      <c r="V17" s="149"/>
      <c r="W17" s="141">
        <f t="shared" si="0"/>
        <v>171.7665783350219</v>
      </c>
      <c r="X17" s="170">
        <v>1</v>
      </c>
      <c r="Y17" s="149"/>
    </row>
    <row r="18" spans="1:25" s="19" customFormat="1" ht="12.6" customHeight="1">
      <c r="A18" s="213" t="str">
        <f>EFp!A19</f>
        <v>Canon</v>
      </c>
      <c r="B18" s="161" t="str">
        <f>EFp!B19</f>
        <v>EF 28/2.8 IS USM</v>
      </c>
      <c r="C18" s="142">
        <f>EFp!C19</f>
        <v>28</v>
      </c>
      <c r="D18" s="142">
        <f>EFp!D19</f>
        <v>2.8</v>
      </c>
      <c r="E18" s="142">
        <f>EFp!E19</f>
        <v>44.800000000000004</v>
      </c>
      <c r="F18" s="214" t="str">
        <f>EFp!F19</f>
        <v>EF</v>
      </c>
      <c r="G18" s="215">
        <f>EFp!G19</f>
        <v>0.23</v>
      </c>
      <c r="H18" s="216">
        <f>EFp!H19</f>
        <v>0.26100000000000001</v>
      </c>
      <c r="I18" s="141">
        <f>EFp!I19</f>
        <v>51.3</v>
      </c>
      <c r="J18" s="141">
        <f>EFp!J19</f>
        <v>68.3</v>
      </c>
      <c r="K18" s="142">
        <f>EFp!K19</f>
        <v>58</v>
      </c>
      <c r="L18" s="203">
        <f>EFp!L19</f>
        <v>301</v>
      </c>
      <c r="M18" s="160" t="str">
        <f>EFp!M19</f>
        <v>.16-04</v>
      </c>
      <c r="N18" s="203">
        <f>EFp!N19</f>
        <v>400</v>
      </c>
      <c r="O18" s="160" t="str">
        <f>EFp!O19</f>
        <v>.16-05</v>
      </c>
      <c r="P18" s="203">
        <f>EFp!P19</f>
        <v>340</v>
      </c>
      <c r="Q18" s="160" t="str">
        <f>EFp!Q19</f>
        <v>.16-01</v>
      </c>
      <c r="R18" s="186" t="str">
        <f>EFp!R19</f>
        <v>LA</v>
      </c>
      <c r="S18" s="203">
        <f>EFp!S19</f>
        <v>425</v>
      </c>
      <c r="T18" s="160" t="str">
        <f>EFp!T19</f>
        <v>.15-11</v>
      </c>
      <c r="U18" s="186" t="str">
        <f>EFp!U19</f>
        <v>igor</v>
      </c>
      <c r="V18" s="149"/>
      <c r="W18" s="141">
        <f t="shared" si="0"/>
        <v>187.95273677254255</v>
      </c>
      <c r="X18" s="170">
        <v>1</v>
      </c>
      <c r="Y18" s="149"/>
    </row>
    <row r="19" spans="1:25" s="19" customFormat="1" ht="12.6" customHeight="1">
      <c r="A19" s="205" t="str">
        <f>LNOP!A118</f>
        <v>Pentax</v>
      </c>
      <c r="B19" s="193" t="str">
        <f>LNOP!B118</f>
        <v>SMC Pentax 28/2</v>
      </c>
      <c r="C19" s="211">
        <f>LNOP!C118</f>
        <v>28</v>
      </c>
      <c r="D19" s="211">
        <f>LNOP!D118</f>
        <v>2</v>
      </c>
      <c r="E19" s="211">
        <f>LNOP!E118</f>
        <v>32</v>
      </c>
      <c r="F19" s="212" t="str">
        <f>LNOP!F118</f>
        <v>K</v>
      </c>
      <c r="G19" s="195">
        <f>LNOP!G118</f>
        <v>0.25</v>
      </c>
      <c r="H19" s="176">
        <f>LNOP!H118</f>
        <v>0.42299999999999999</v>
      </c>
      <c r="I19" s="172">
        <f>LNOP!I118</f>
        <v>62.5</v>
      </c>
      <c r="J19" s="172">
        <f>LNOP!J118</f>
        <v>69</v>
      </c>
      <c r="K19" s="211">
        <f>LNOP!K118</f>
        <v>52</v>
      </c>
      <c r="L19" s="197">
        <f>LNOP!L118</f>
        <v>549.75</v>
      </c>
      <c r="M19" s="206" t="str">
        <f>LNOP!M118</f>
        <v>.16-01</v>
      </c>
      <c r="N19" s="197">
        <f>LNOP!N118</f>
        <v>838.8</v>
      </c>
      <c r="O19" s="206" t="str">
        <f>LNOP!O118</f>
        <v>.15-08</v>
      </c>
      <c r="P19" s="197">
        <f>LNOP!P118</f>
        <v>429</v>
      </c>
      <c r="Q19" s="206" t="str">
        <f>LNOP!Q118</f>
        <v>.14-03</v>
      </c>
      <c r="R19" s="188" t="str">
        <f>LNOP!R118</f>
        <v>keh</v>
      </c>
      <c r="S19" s="197" t="str">
        <f>LNOP!S118</f>
        <v xml:space="preserve"> </v>
      </c>
      <c r="T19" s="206" t="str">
        <f>LNOP!T118</f>
        <v xml:space="preserve"> </v>
      </c>
      <c r="U19" s="188" t="str">
        <f>LNOP!U118</f>
        <v xml:space="preserve"> </v>
      </c>
      <c r="V19" s="149"/>
      <c r="W19" s="141">
        <f t="shared" si="0"/>
        <v>233.7050409959532</v>
      </c>
      <c r="X19" s="170">
        <v>1</v>
      </c>
      <c r="Y19" s="149"/>
    </row>
    <row r="20" spans="1:25" s="166" customFormat="1" ht="12.6" customHeight="1">
      <c r="A20" s="163"/>
      <c r="B20" s="169"/>
      <c r="C20" s="164"/>
      <c r="D20" s="168"/>
      <c r="E20" s="167"/>
      <c r="F20" s="168"/>
      <c r="G20" s="164"/>
      <c r="H20" s="164"/>
      <c r="I20" s="164"/>
      <c r="J20" s="164"/>
      <c r="L20" s="164"/>
      <c r="N20" s="164"/>
      <c r="Q20" s="165"/>
      <c r="V20" s="163"/>
      <c r="W20" s="155" t="s">
        <v>16</v>
      </c>
    </row>
    <row r="21" spans="1:25" s="19" customFormat="1" ht="12.6" customHeight="1">
      <c r="A21" s="213" t="str">
        <f>EFp!A43</f>
        <v>Canon</v>
      </c>
      <c r="B21" s="161" t="str">
        <f>EFp!B43</f>
        <v>EF 135/2 L USM</v>
      </c>
      <c r="C21" s="142">
        <f>EFp!C43</f>
        <v>135</v>
      </c>
      <c r="D21" s="142">
        <f>EFp!D43</f>
        <v>2</v>
      </c>
      <c r="E21" s="142">
        <f>EFp!E43</f>
        <v>216</v>
      </c>
      <c r="F21" s="214" t="str">
        <f>EFp!F43</f>
        <v>EF</v>
      </c>
      <c r="G21" s="215">
        <f>EFp!G43</f>
        <v>0.9</v>
      </c>
      <c r="H21" s="216">
        <f>EFp!H43</f>
        <v>0.75</v>
      </c>
      <c r="I21" s="141">
        <f>EFp!I43</f>
        <v>112</v>
      </c>
      <c r="J21" s="141">
        <f>EFp!J43</f>
        <v>82.5</v>
      </c>
      <c r="K21" s="142">
        <f>EFp!K43</f>
        <v>72</v>
      </c>
      <c r="L21" s="203">
        <f>EFp!L43</f>
        <v>660.36363636363637</v>
      </c>
      <c r="M21" s="160" t="str">
        <f>EFp!M43</f>
        <v>.16-05</v>
      </c>
      <c r="N21" s="203">
        <f>EFp!N43</f>
        <v>775.9</v>
      </c>
      <c r="O21" s="160" t="str">
        <f>EFp!O43</f>
        <v>.16-05</v>
      </c>
      <c r="P21" s="203">
        <f>EFp!P43</f>
        <v>822</v>
      </c>
      <c r="Q21" s="160" t="str">
        <f>EFp!Q43</f>
        <v>.15-04</v>
      </c>
      <c r="R21" s="186" t="str">
        <f>EFp!R43</f>
        <v>keh</v>
      </c>
      <c r="S21" s="203">
        <f>EFp!S43</f>
        <v>825</v>
      </c>
      <c r="T21" s="160" t="str">
        <f>EFp!T43</f>
        <v>.16-01</v>
      </c>
      <c r="U21" s="186" t="str">
        <f>EFp!U43</f>
        <v>camW</v>
      </c>
      <c r="V21" s="149"/>
      <c r="W21" s="155">
        <f t="shared" ref="W21:W24" si="1">I21*PI()*J21*J21*X21*X21/4000</f>
        <v>598.70901995787483</v>
      </c>
      <c r="X21" s="170">
        <v>1</v>
      </c>
      <c r="Y21" s="149"/>
    </row>
    <row r="22" spans="1:25" s="19" customFormat="1" ht="12.6" customHeight="1">
      <c r="A22" s="213" t="str">
        <f>CZ.V!A29</f>
        <v>Carl Zeiss</v>
      </c>
      <c r="B22" s="161" t="str">
        <f>CZ.V!B29</f>
        <v>Apo Sonnar T* 135/2 ZE</v>
      </c>
      <c r="C22" s="142">
        <f>CZ.V!C29</f>
        <v>135</v>
      </c>
      <c r="D22" s="142">
        <f>CZ.V!D29</f>
        <v>2</v>
      </c>
      <c r="E22" s="142">
        <f>CZ.V!E29</f>
        <v>216</v>
      </c>
      <c r="F22" s="214" t="str">
        <f>CZ.V!F29</f>
        <v>ZE</v>
      </c>
      <c r="G22" s="215">
        <f>CZ.V!G29</f>
        <v>0.8</v>
      </c>
      <c r="H22" s="216">
        <f>CZ.V!H29</f>
        <v>0.93</v>
      </c>
      <c r="I22" s="141">
        <f>CZ.V!I29</f>
        <v>108</v>
      </c>
      <c r="J22" s="141">
        <f>CZ.V!J29</f>
        <v>84</v>
      </c>
      <c r="K22" s="142">
        <f>CZ.V!K29</f>
        <v>77</v>
      </c>
      <c r="L22" s="203">
        <f>CZ.V!L29</f>
        <v>1136.5</v>
      </c>
      <c r="M22" s="160" t="str">
        <f>CZ.V!M29</f>
        <v>.16-05</v>
      </c>
      <c r="N22" s="203">
        <f>CZ.V!N29</f>
        <v>1549.5</v>
      </c>
      <c r="O22" s="160" t="str">
        <f>CZ.V!O29</f>
        <v>.16-04</v>
      </c>
      <c r="P22" s="203">
        <f>CZ.V!P29</f>
        <v>1600</v>
      </c>
      <c r="Q22" s="160" t="str">
        <f>CZ.V!Q29</f>
        <v>.16-05</v>
      </c>
      <c r="R22" s="186" t="str">
        <f>CZ.V!R29</f>
        <v>keh</v>
      </c>
      <c r="S22" s="203">
        <f>CZ.V!S29</f>
        <v>1672</v>
      </c>
      <c r="T22" s="160" t="str">
        <f>CZ.V!T29</f>
        <v>.16-05</v>
      </c>
      <c r="U22" s="186" t="str">
        <f>CZ.V!U29</f>
        <v>keh</v>
      </c>
      <c r="V22" s="149"/>
      <c r="W22" s="155">
        <f t="shared" si="1"/>
        <v>598.5110996206987</v>
      </c>
      <c r="X22" s="170">
        <v>1</v>
      </c>
      <c r="Y22" s="149"/>
    </row>
    <row r="23" spans="1:25" s="19" customFormat="1" ht="12.6" customHeight="1">
      <c r="A23" s="213" t="str">
        <f>CZ.V!A56</f>
        <v>Carl Zeiss</v>
      </c>
      <c r="B23" s="161" t="str">
        <f>CZ.V!B56</f>
        <v>Planar T* 135/2 CY</v>
      </c>
      <c r="C23" s="142">
        <f>CZ.V!C56</f>
        <v>135</v>
      </c>
      <c r="D23" s="142">
        <f>CZ.V!D56</f>
        <v>2</v>
      </c>
      <c r="E23" s="142">
        <f>CZ.V!E56</f>
        <v>216</v>
      </c>
      <c r="F23" s="214" t="str">
        <f>CZ.V!F56</f>
        <v>CY</v>
      </c>
      <c r="G23" s="215">
        <f>CZ.V!G56</f>
        <v>1.5</v>
      </c>
      <c r="H23" s="216">
        <f>CZ.V!H56</f>
        <v>0.79</v>
      </c>
      <c r="I23" s="141">
        <f>CZ.V!I56</f>
        <v>101</v>
      </c>
      <c r="J23" s="141">
        <f>CZ.V!J56</f>
        <v>75</v>
      </c>
      <c r="K23" s="142">
        <f>CZ.V!K56</f>
        <v>72</v>
      </c>
      <c r="L23" s="203">
        <f>CZ.V!L56</f>
        <v>832.5</v>
      </c>
      <c r="M23" s="160" t="str">
        <f>CZ.V!M56</f>
        <v>.16-05</v>
      </c>
      <c r="N23" s="203">
        <f>CZ.V!N56</f>
        <v>1251.7</v>
      </c>
      <c r="O23" s="160" t="str">
        <f>CZ.V!O56</f>
        <v>.16-03</v>
      </c>
      <c r="P23" s="203">
        <f>CZ.V!P56</f>
        <v>1600</v>
      </c>
      <c r="Q23" s="160" t="str">
        <f>CZ.V!Q56</f>
        <v>.15-01</v>
      </c>
      <c r="R23" s="186" t="str">
        <f>CZ.V!R56</f>
        <v>kevin</v>
      </c>
      <c r="S23" s="203">
        <f>CZ.V!S56</f>
        <v>2100</v>
      </c>
      <c r="T23" s="160" t="str">
        <f>CZ.V!T56</f>
        <v>.15-01</v>
      </c>
      <c r="U23" s="186" t="str">
        <f>CZ.V!U56</f>
        <v>kevin</v>
      </c>
      <c r="V23" s="149"/>
      <c r="W23" s="155">
        <f t="shared" si="1"/>
        <v>446.20433158017534</v>
      </c>
      <c r="X23" s="170">
        <v>1</v>
      </c>
      <c r="Y23" s="149"/>
    </row>
    <row r="24" spans="1:25" s="19" customFormat="1" ht="12.6" customHeight="1">
      <c r="A24" s="213" t="str">
        <f>LNOP!A134</f>
        <v>Pentax</v>
      </c>
      <c r="B24" s="161" t="str">
        <f>LNOP!B134</f>
        <v>SMC Pentax-A* 135mm f/1.8</v>
      </c>
      <c r="C24" s="142">
        <f>LNOP!C134</f>
        <v>135</v>
      </c>
      <c r="D24" s="142">
        <f>LNOP!D134</f>
        <v>1.8</v>
      </c>
      <c r="E24" s="142">
        <f>LNOP!E134</f>
        <v>216</v>
      </c>
      <c r="F24" s="214" t="str">
        <f>LNOP!F134</f>
        <v>KA</v>
      </c>
      <c r="G24" s="215">
        <f>LNOP!G134</f>
        <v>1.2</v>
      </c>
      <c r="H24" s="216">
        <f>LNOP!H134</f>
        <v>0.86499999999999999</v>
      </c>
      <c r="I24" s="141">
        <f>LNOP!I134</f>
        <v>98</v>
      </c>
      <c r="J24" s="141">
        <f>LNOP!J134</f>
        <v>80</v>
      </c>
      <c r="K24" s="142">
        <f>LNOP!K134</f>
        <v>77</v>
      </c>
      <c r="L24" s="203">
        <f>LNOP!L134</f>
        <v>1982</v>
      </c>
      <c r="M24" s="160" t="str">
        <f>LNOP!M134</f>
        <v>.16-05</v>
      </c>
      <c r="N24" s="203">
        <f>LNOP!N134</f>
        <v>2701.75</v>
      </c>
      <c r="O24" s="160" t="str">
        <f>LNOP!O134</f>
        <v>.16-03</v>
      </c>
      <c r="P24" s="203">
        <f>LNOP!P134</f>
        <v>2570</v>
      </c>
      <c r="Q24" s="160" t="str">
        <f>LNOP!Q134</f>
        <v>.13-09</v>
      </c>
      <c r="R24" s="186" t="str">
        <f>LNOP!R134</f>
        <v>keh</v>
      </c>
      <c r="S24" s="203" t="str">
        <f>LNOP!S134</f>
        <v xml:space="preserve"> </v>
      </c>
      <c r="T24" s="160" t="str">
        <f>LNOP!T134</f>
        <v xml:space="preserve"> </v>
      </c>
      <c r="U24" s="186" t="str">
        <f>LNOP!U134</f>
        <v xml:space="preserve"> </v>
      </c>
      <c r="V24" s="149"/>
      <c r="W24" s="155">
        <f t="shared" si="1"/>
        <v>492.60172808287956</v>
      </c>
      <c r="X24" s="170">
        <v>1</v>
      </c>
      <c r="Y24" s="149"/>
    </row>
    <row r="25" spans="1:25" s="166" customFormat="1" ht="12.6" customHeight="1">
      <c r="A25" s="162"/>
      <c r="B25" s="162"/>
      <c r="C25" s="162"/>
      <c r="D25" s="162"/>
      <c r="E25" s="162"/>
      <c r="F25" s="162"/>
      <c r="G25" s="162"/>
      <c r="H25" s="162"/>
      <c r="I25" s="162"/>
      <c r="J25" s="162"/>
      <c r="K25" s="162"/>
      <c r="L25" s="162"/>
      <c r="M25" s="162"/>
      <c r="N25" s="162"/>
      <c r="O25" s="162"/>
      <c r="P25" s="162"/>
      <c r="Q25" s="162"/>
      <c r="R25" s="162"/>
      <c r="S25" s="162"/>
      <c r="T25" s="162"/>
      <c r="U25" s="162"/>
      <c r="V25" s="163"/>
    </row>
    <row r="26" spans="1:25" s="19" customFormat="1" ht="12.6" customHeight="1">
      <c r="A26" s="205" t="str">
        <f>CZ.V!A106</f>
        <v>Voigtlander</v>
      </c>
      <c r="B26" s="193" t="str">
        <f>CZ.V!B106</f>
        <v xml:space="preserve">75/2.5 Color Heliar SL </v>
      </c>
      <c r="C26" s="211">
        <f>CZ.V!C106</f>
        <v>75</v>
      </c>
      <c r="D26" s="211">
        <f>CZ.V!D106</f>
        <v>2.5</v>
      </c>
      <c r="E26" s="211">
        <f>CZ.V!E106</f>
        <v>120</v>
      </c>
      <c r="F26" s="212" t="str">
        <f>CZ.V!F106</f>
        <v>x</v>
      </c>
      <c r="G26" s="195">
        <f>CZ.V!G106</f>
        <v>0.7</v>
      </c>
      <c r="H26" s="176">
        <f>CZ.V!H106</f>
        <v>0.25</v>
      </c>
      <c r="I26" s="172">
        <f>CZ.V!I106</f>
        <v>40.200000000000003</v>
      </c>
      <c r="J26" s="172">
        <f>CZ.V!J106</f>
        <v>63.5</v>
      </c>
      <c r="K26" s="211">
        <f>CZ.V!K106</f>
        <v>49</v>
      </c>
      <c r="L26" s="197">
        <f>CZ.V!L106</f>
        <v>372.25</v>
      </c>
      <c r="M26" s="206" t="str">
        <f>CZ.V!M106</f>
        <v>.16-03</v>
      </c>
      <c r="N26" s="197">
        <f>CZ.V!N106</f>
        <v>457.33333333333331</v>
      </c>
      <c r="O26" s="206" t="str">
        <f>CZ.V!O106</f>
        <v>.16-05</v>
      </c>
      <c r="P26" s="197" t="str">
        <f>CZ.V!P106</f>
        <v xml:space="preserve"> </v>
      </c>
      <c r="Q26" s="206" t="str">
        <f>CZ.V!Q106</f>
        <v xml:space="preserve"> </v>
      </c>
      <c r="R26" s="188" t="str">
        <f>CZ.V!R106</f>
        <v xml:space="preserve"> </v>
      </c>
      <c r="S26" s="197" t="str">
        <f>CZ.V!S106</f>
        <v xml:space="preserve"> </v>
      </c>
      <c r="T26" s="206" t="str">
        <f>CZ.V!T106</f>
        <v xml:space="preserve"> </v>
      </c>
      <c r="U26" s="188" t="str">
        <f>CZ.V!U106</f>
        <v xml:space="preserve"> </v>
      </c>
      <c r="V26" s="149"/>
      <c r="W26" s="141">
        <f t="shared" ref="W26:W33" si="2">I26*PI()*J26*J26*X26*X26/4000</f>
        <v>127.31025412324631</v>
      </c>
      <c r="X26" s="170">
        <v>1</v>
      </c>
      <c r="Y26" s="149"/>
    </row>
    <row r="27" spans="1:25" s="19" customFormat="1" ht="12.6" customHeight="1">
      <c r="A27" s="205" t="str">
        <f>LNOP!A84</f>
        <v>Olympus</v>
      </c>
      <c r="B27" s="193" t="str">
        <f>LNOP!B84</f>
        <v xml:space="preserve">Zuiko 85/2 Auto-T </v>
      </c>
      <c r="C27" s="211">
        <f>LNOP!C84</f>
        <v>85</v>
      </c>
      <c r="D27" s="211">
        <f>LNOP!D84</f>
        <v>2</v>
      </c>
      <c r="E27" s="211">
        <f>LNOP!E84</f>
        <v>136</v>
      </c>
      <c r="F27" s="212" t="str">
        <f>LNOP!F84</f>
        <v>OM</v>
      </c>
      <c r="G27" s="195">
        <f>LNOP!G84</f>
        <v>0.85</v>
      </c>
      <c r="H27" s="176">
        <f>LNOP!H84</f>
        <v>0.26</v>
      </c>
      <c r="I27" s="172">
        <f>LNOP!I84</f>
        <v>48</v>
      </c>
      <c r="J27" s="172">
        <f>LNOP!J84</f>
        <v>60</v>
      </c>
      <c r="K27" s="211">
        <f>LNOP!K84</f>
        <v>49</v>
      </c>
      <c r="L27" s="197">
        <f>LNOP!L84</f>
        <v>220.27272727272728</v>
      </c>
      <c r="M27" s="206" t="str">
        <f>LNOP!M84</f>
        <v>.16-05</v>
      </c>
      <c r="N27" s="197">
        <f>LNOP!N84</f>
        <v>348.77777777777777</v>
      </c>
      <c r="O27" s="206" t="str">
        <f>LNOP!O84</f>
        <v>.16-04</v>
      </c>
      <c r="P27" s="197">
        <f>LNOP!P84</f>
        <v>367</v>
      </c>
      <c r="Q27" s="206" t="str">
        <f>LNOP!Q84</f>
        <v>.15-04</v>
      </c>
      <c r="R27" s="188" t="str">
        <f>LNOP!R84</f>
        <v>keh</v>
      </c>
      <c r="S27" s="197">
        <f>LNOP!S84</f>
        <v>245</v>
      </c>
      <c r="T27" s="206" t="str">
        <f>LNOP!T84</f>
        <v>.14-03</v>
      </c>
      <c r="U27" s="188" t="str">
        <f>LNOP!U84</f>
        <v>igor</v>
      </c>
      <c r="V27" s="149"/>
      <c r="W27" s="141">
        <f t="shared" si="2"/>
        <v>135.71680263507906</v>
      </c>
      <c r="X27" s="170">
        <v>1</v>
      </c>
      <c r="Y27" s="149"/>
    </row>
    <row r="28" spans="1:25" s="11" customFormat="1" ht="12.6" customHeight="1">
      <c r="A28" s="157" t="str">
        <f>LNOP!A130</f>
        <v>Pentax</v>
      </c>
      <c r="B28" s="182" t="str">
        <f>LNOP!B130</f>
        <v>SMC Pentax 85/1.8</v>
      </c>
      <c r="C28" s="141">
        <f>LNOP!C130</f>
        <v>85</v>
      </c>
      <c r="D28" s="183">
        <f>LNOP!D130</f>
        <v>1.8</v>
      </c>
      <c r="E28" s="141">
        <f>LNOP!E130</f>
        <v>136</v>
      </c>
      <c r="F28" s="277" t="str">
        <f>LNOP!F130</f>
        <v>K</v>
      </c>
      <c r="G28" s="215">
        <f>LNOP!G130</f>
        <v>0.85</v>
      </c>
      <c r="H28" s="216">
        <f>LNOP!H130</f>
        <v>0.33100000000000002</v>
      </c>
      <c r="I28" s="141">
        <f>LNOP!I130</f>
        <v>56</v>
      </c>
      <c r="J28" s="141">
        <f>LNOP!J130</f>
        <v>64</v>
      </c>
      <c r="K28" s="141">
        <f>LNOP!K130</f>
        <v>52</v>
      </c>
      <c r="L28" s="203">
        <f>LNOP!L130</f>
        <v>353.72727272727275</v>
      </c>
      <c r="M28" s="141" t="str">
        <f>LNOP!M130</f>
        <v>.16-05</v>
      </c>
      <c r="N28" s="203">
        <f>LNOP!N130</f>
        <v>450.08333333333331</v>
      </c>
      <c r="O28" s="141" t="str">
        <f>LNOP!O130</f>
        <v>.16-04</v>
      </c>
      <c r="P28" s="203">
        <f>LNOP!P130</f>
        <v>224.2</v>
      </c>
      <c r="Q28" s="141" t="str">
        <f>LNOP!Q130</f>
        <v>.16-05</v>
      </c>
      <c r="R28" s="186" t="str">
        <f>LNOP!R130</f>
        <v>v.v</v>
      </c>
      <c r="S28" s="203">
        <f>LNOP!S130</f>
        <v>850</v>
      </c>
      <c r="T28" s="141" t="str">
        <f>LNOP!T130</f>
        <v>.13-04</v>
      </c>
      <c r="U28" s="186" t="str">
        <f>LNOP!U130</f>
        <v>kevin</v>
      </c>
      <c r="V28" s="182"/>
      <c r="W28" s="141">
        <f t="shared" si="2"/>
        <v>180.15148912745309</v>
      </c>
      <c r="X28" s="141">
        <v>1</v>
      </c>
      <c r="Y28" s="182"/>
    </row>
    <row r="29" spans="1:25" s="11" customFormat="1" ht="12.6" customHeight="1">
      <c r="A29" s="157" t="str">
        <f>CZ.V!A50</f>
        <v>Carl Zeiss</v>
      </c>
      <c r="B29" s="182" t="str">
        <f>CZ.V!B50</f>
        <v>Planar T* 85/1.4 CY</v>
      </c>
      <c r="C29" s="141">
        <f>CZ.V!C50</f>
        <v>85</v>
      </c>
      <c r="D29" s="183">
        <f>CZ.V!D50</f>
        <v>1.4</v>
      </c>
      <c r="E29" s="141">
        <f>CZ.V!E50</f>
        <v>136</v>
      </c>
      <c r="F29" s="277" t="str">
        <f>CZ.V!F50</f>
        <v>CY</v>
      </c>
      <c r="G29" s="215">
        <f>CZ.V!G50</f>
        <v>1</v>
      </c>
      <c r="H29" s="216">
        <f>CZ.V!H50</f>
        <v>0.59499999999999997</v>
      </c>
      <c r="I29" s="141">
        <f>CZ.V!I50</f>
        <v>64</v>
      </c>
      <c r="J29" s="141">
        <f>CZ.V!J50</f>
        <v>70</v>
      </c>
      <c r="K29" s="141">
        <f>CZ.V!K50</f>
        <v>67</v>
      </c>
      <c r="L29" s="203">
        <f>CZ.V!L50</f>
        <v>481.33333333333331</v>
      </c>
      <c r="M29" s="141" t="str">
        <f>CZ.V!M50</f>
        <v>.16-04</v>
      </c>
      <c r="N29" s="203">
        <f>CZ.V!N50</f>
        <v>658.66666666666663</v>
      </c>
      <c r="O29" s="141" t="str">
        <f>CZ.V!O50</f>
        <v>.16-05</v>
      </c>
      <c r="P29" s="203">
        <f>CZ.V!P50</f>
        <v>750</v>
      </c>
      <c r="Q29" s="141" t="str">
        <f>CZ.V!Q50</f>
        <v>.16-05</v>
      </c>
      <c r="R29" s="186" t="str">
        <f>CZ.V!R50</f>
        <v>b&amp;h</v>
      </c>
      <c r="S29" s="203">
        <f>CZ.V!S50</f>
        <v>850</v>
      </c>
      <c r="T29" s="141" t="str">
        <f>CZ.V!T50</f>
        <v>.15-11</v>
      </c>
      <c r="U29" s="186" t="str">
        <f>CZ.V!U50</f>
        <v>keh</v>
      </c>
      <c r="V29" s="182"/>
      <c r="W29" s="141">
        <f t="shared" si="2"/>
        <v>246.30086404143978</v>
      </c>
      <c r="X29" s="141">
        <v>1</v>
      </c>
      <c r="Y29" s="182"/>
    </row>
    <row r="30" spans="1:25" s="11" customFormat="1" ht="12.6" customHeight="1">
      <c r="A30" s="157" t="str">
        <f>CZ.V!A27</f>
        <v>Carl Zeiss</v>
      </c>
      <c r="B30" s="182" t="str">
        <f>CZ.V!B27</f>
        <v>Planar T* 85/1.4 ZE</v>
      </c>
      <c r="C30" s="141">
        <f>CZ.V!C27</f>
        <v>85</v>
      </c>
      <c r="D30" s="183">
        <f>CZ.V!D27</f>
        <v>1.4</v>
      </c>
      <c r="E30" s="141">
        <f>CZ.V!E27</f>
        <v>136</v>
      </c>
      <c r="F30" s="277" t="str">
        <f>CZ.V!F27</f>
        <v>ZE</v>
      </c>
      <c r="G30" s="215">
        <f>CZ.V!G27</f>
        <v>1</v>
      </c>
      <c r="H30" s="216">
        <f>CZ.V!H27</f>
        <v>0.67</v>
      </c>
      <c r="I30" s="141">
        <f>CZ.V!I27</f>
        <v>65</v>
      </c>
      <c r="J30" s="141">
        <f>CZ.V!J27</f>
        <v>78</v>
      </c>
      <c r="K30" s="141">
        <f>CZ.V!K27</f>
        <v>72</v>
      </c>
      <c r="L30" s="203">
        <f>CZ.V!L27</f>
        <v>658.66666666666663</v>
      </c>
      <c r="M30" s="141" t="str">
        <f>CZ.V!M27</f>
        <v>.16-05</v>
      </c>
      <c r="N30" s="203">
        <f>CZ.V!N27</f>
        <v>875.7</v>
      </c>
      <c r="O30" s="141" t="str">
        <f>CZ.V!O27</f>
        <v>.16-05</v>
      </c>
      <c r="P30" s="203">
        <f>CZ.V!P27</f>
        <v>720</v>
      </c>
      <c r="Q30" s="141" t="str">
        <f>CZ.V!Q27</f>
        <v>.16-01</v>
      </c>
      <c r="R30" s="186" t="str">
        <f>CZ.V!R27</f>
        <v>LA</v>
      </c>
      <c r="S30" s="203">
        <f>CZ.V!S27</f>
        <v>1121</v>
      </c>
      <c r="T30" s="141" t="str">
        <f>CZ.V!T27</f>
        <v>.15-04</v>
      </c>
      <c r="U30" s="186" t="str">
        <f>CZ.V!U27</f>
        <v>camtec</v>
      </c>
      <c r="V30" s="182"/>
      <c r="W30" s="141">
        <f t="shared" ref="W30" si="3">I30*PI()*J30*J30*X30*X30/4000</f>
        <v>310.59355769715489</v>
      </c>
      <c r="X30" s="141">
        <v>1</v>
      </c>
      <c r="Y30" s="182"/>
    </row>
    <row r="31" spans="1:25" s="11" customFormat="1" ht="11.25">
      <c r="A31" s="157" t="str">
        <f>EFp!A37</f>
        <v>Canon</v>
      </c>
      <c r="B31" s="182" t="str">
        <f>EFp!B37</f>
        <v>EF 85/1.8 USM</v>
      </c>
      <c r="C31" s="141">
        <f>EFp!C37</f>
        <v>85</v>
      </c>
      <c r="D31" s="183">
        <f>EFp!D37</f>
        <v>1.8</v>
      </c>
      <c r="E31" s="141">
        <f>EFp!E37</f>
        <v>136</v>
      </c>
      <c r="F31" s="277" t="str">
        <f>EFp!F37</f>
        <v>EF</v>
      </c>
      <c r="G31" s="215">
        <f>EFp!G37</f>
        <v>0.85</v>
      </c>
      <c r="H31" s="216">
        <f>EFp!H37</f>
        <v>0.42499999999999999</v>
      </c>
      <c r="I31" s="141">
        <f>EFp!I37</f>
        <v>71.5</v>
      </c>
      <c r="J31" s="141">
        <f>EFp!J37</f>
        <v>75</v>
      </c>
      <c r="K31" s="141">
        <f>EFp!K37</f>
        <v>58</v>
      </c>
      <c r="L31" s="203">
        <f>EFp!L37</f>
        <v>259.125</v>
      </c>
      <c r="M31" s="141" t="str">
        <f>EFp!M37</f>
        <v>.16-05</v>
      </c>
      <c r="N31" s="203">
        <f>EFp!N37</f>
        <v>302.25</v>
      </c>
      <c r="O31" s="141" t="str">
        <f>EFp!O37</f>
        <v>.16-05</v>
      </c>
      <c r="P31" s="203">
        <f>EFp!P37</f>
        <v>280</v>
      </c>
      <c r="Q31" s="141" t="str">
        <f>EFp!Q37</f>
        <v>.15-11</v>
      </c>
      <c r="R31" s="186" t="str">
        <f>EFp!R37</f>
        <v>ado</v>
      </c>
      <c r="S31" s="203">
        <f>EFp!S37</f>
        <v>328</v>
      </c>
      <c r="T31" s="141" t="str">
        <f>EFp!T37</f>
        <v>.16-01</v>
      </c>
      <c r="U31" s="186" t="str">
        <f>EFp!U37</f>
        <v>keh</v>
      </c>
      <c r="V31" s="182"/>
      <c r="W31" s="141">
        <f t="shared" si="2"/>
        <v>315.87732384141128</v>
      </c>
      <c r="X31" s="141">
        <v>1</v>
      </c>
      <c r="Y31" s="182"/>
    </row>
    <row r="32" spans="1:25" s="11" customFormat="1" ht="12.6" customHeight="1">
      <c r="A32" s="157" t="str">
        <f>STT!A52</f>
        <v>Tamron</v>
      </c>
      <c r="B32" s="182" t="str">
        <f>STT!B52</f>
        <v>SP 85/1.8 Di VC USD</v>
      </c>
      <c r="C32" s="141">
        <f>STT!C52</f>
        <v>85</v>
      </c>
      <c r="D32" s="183">
        <f>STT!D52</f>
        <v>1.8</v>
      </c>
      <c r="E32" s="141">
        <f>STT!E52</f>
        <v>136</v>
      </c>
      <c r="F32" s="277" t="str">
        <f>STT!F52</f>
        <v>EF</v>
      </c>
      <c r="G32" s="215">
        <f>STT!G52</f>
        <v>0.8</v>
      </c>
      <c r="H32" s="216">
        <f>STT!H52</f>
        <v>0.7</v>
      </c>
      <c r="I32" s="141">
        <f>STT!I52</f>
        <v>91</v>
      </c>
      <c r="J32" s="141">
        <f>STT!J52</f>
        <v>85</v>
      </c>
      <c r="K32" s="141">
        <f>STT!K52</f>
        <v>67</v>
      </c>
      <c r="L32" s="203">
        <f>STT!L52</f>
        <v>630</v>
      </c>
      <c r="M32" s="141" t="str">
        <f>STT!M52</f>
        <v>.16-05</v>
      </c>
      <c r="N32" s="203">
        <f>STT!N52</f>
        <v>749</v>
      </c>
      <c r="O32" s="141" t="str">
        <f>STT!O52</f>
        <v>.16-05</v>
      </c>
      <c r="P32" s="203" t="str">
        <f>STT!P52</f>
        <v xml:space="preserve"> </v>
      </c>
      <c r="Q32" s="141" t="str">
        <f>STT!Q52</f>
        <v xml:space="preserve"> </v>
      </c>
      <c r="R32" s="186" t="str">
        <f>STT!R52</f>
        <v xml:space="preserve"> </v>
      </c>
      <c r="S32" s="203" t="str">
        <f>STT!S52</f>
        <v xml:space="preserve"> </v>
      </c>
      <c r="T32" s="141" t="str">
        <f>STT!T52</f>
        <v xml:space="preserve"> </v>
      </c>
      <c r="U32" s="186" t="str">
        <f>STT!U52</f>
        <v xml:space="preserve"> </v>
      </c>
      <c r="V32" s="182"/>
      <c r="W32" s="141">
        <f t="shared" ref="W32" si="4">I32*PI()*J32*J32*X32*X32/4000</f>
        <v>516.37965747973726</v>
      </c>
      <c r="X32" s="141">
        <v>1</v>
      </c>
      <c r="Y32" s="182"/>
    </row>
    <row r="33" spans="1:25" s="19" customFormat="1" ht="12.6" customHeight="1">
      <c r="A33" s="205" t="str">
        <f>EFp!A36</f>
        <v>Canon</v>
      </c>
      <c r="B33" s="193" t="str">
        <f>EFp!B36</f>
        <v xml:space="preserve">EF 85/1.2 L II USM </v>
      </c>
      <c r="C33" s="211">
        <f>EFp!C36</f>
        <v>85</v>
      </c>
      <c r="D33" s="211">
        <f>EFp!D36</f>
        <v>1.2</v>
      </c>
      <c r="E33" s="211">
        <f>EFp!E36</f>
        <v>136</v>
      </c>
      <c r="F33" s="212" t="str">
        <f>EFp!F36</f>
        <v>EF</v>
      </c>
      <c r="G33" s="195">
        <f>EFp!G36</f>
        <v>0.95</v>
      </c>
      <c r="H33" s="176">
        <f>EFp!H36</f>
        <v>1.0249999999999999</v>
      </c>
      <c r="I33" s="172">
        <f>EFp!I36</f>
        <v>84</v>
      </c>
      <c r="J33" s="172">
        <f>EFp!J36</f>
        <v>91.5</v>
      </c>
      <c r="K33" s="211">
        <f>EFp!K36</f>
        <v>72</v>
      </c>
      <c r="L33" s="197">
        <f>EFp!L36</f>
        <v>1297</v>
      </c>
      <c r="M33" s="206" t="str">
        <f>EFp!M36</f>
        <v>.16-05</v>
      </c>
      <c r="N33" s="197">
        <f>EFp!N36</f>
        <v>1499</v>
      </c>
      <c r="O33" s="206" t="str">
        <f>EFp!O36</f>
        <v>.16-05</v>
      </c>
      <c r="P33" s="197">
        <f>EFp!P36</f>
        <v>1640</v>
      </c>
      <c r="Q33" s="206" t="str">
        <f>EFp!Q36</f>
        <v>.16-01</v>
      </c>
      <c r="R33" s="188" t="str">
        <f>EFp!R36</f>
        <v>LA</v>
      </c>
      <c r="S33" s="197">
        <f>EFp!S36</f>
        <v>1595</v>
      </c>
      <c r="T33" s="206" t="str">
        <f>EFp!T36</f>
        <v>.16-01</v>
      </c>
      <c r="U33" s="188" t="str">
        <f>EFp!U36</f>
        <v>igor</v>
      </c>
      <c r="V33" s="149"/>
      <c r="W33" s="141">
        <f t="shared" si="2"/>
        <v>552.3461809743601</v>
      </c>
      <c r="X33" s="170">
        <v>1</v>
      </c>
      <c r="Y33" s="149"/>
    </row>
    <row r="34" spans="1:25" s="166" customFormat="1" ht="12.6" customHeight="1">
      <c r="A34" s="163"/>
      <c r="B34" s="169"/>
      <c r="C34" s="164"/>
      <c r="D34" s="168"/>
      <c r="E34" s="167"/>
      <c r="F34" s="168"/>
      <c r="G34" s="164"/>
      <c r="H34" s="171"/>
      <c r="I34" s="164"/>
      <c r="J34" s="164"/>
      <c r="L34" s="164"/>
      <c r="N34" s="164"/>
      <c r="Q34" s="165"/>
      <c r="V34" s="163"/>
    </row>
    <row r="35" spans="1:25" s="37" customFormat="1" ht="12.6" customHeight="1">
      <c r="A35" s="213" t="str">
        <f>LNOP!A135</f>
        <v>Pentax</v>
      </c>
      <c r="B35" s="161" t="str">
        <f>LNOP!B135</f>
        <v>SMC Pentax 135/2.5</v>
      </c>
      <c r="C35" s="142">
        <f>LNOP!C135</f>
        <v>135</v>
      </c>
      <c r="D35" s="142">
        <f>LNOP!D135</f>
        <v>2.5</v>
      </c>
      <c r="E35" s="142">
        <f>LNOP!E135</f>
        <v>216</v>
      </c>
      <c r="F35" s="214" t="str">
        <f>LNOP!F135</f>
        <v>K</v>
      </c>
      <c r="G35" s="215">
        <f>LNOP!G135</f>
        <v>1.5</v>
      </c>
      <c r="H35" s="216">
        <f>LNOP!H135</f>
        <v>0.5</v>
      </c>
      <c r="I35" s="141">
        <f>LNOP!I135</f>
        <v>86</v>
      </c>
      <c r="J35" s="141">
        <f>LNOP!J135</f>
        <v>68</v>
      </c>
      <c r="K35" s="142">
        <f>LNOP!K135</f>
        <v>58</v>
      </c>
      <c r="L35" s="203">
        <f>LNOP!L135</f>
        <v>176</v>
      </c>
      <c r="M35" s="160" t="str">
        <f>LNOP!M135</f>
        <v>.16-05</v>
      </c>
      <c r="N35" s="203">
        <f>LNOP!N135</f>
        <v>263</v>
      </c>
      <c r="O35" s="160" t="str">
        <f>LNOP!O135</f>
        <v>.15-12</v>
      </c>
      <c r="P35" s="203">
        <f>LNOP!P135</f>
        <v>98.04</v>
      </c>
      <c r="Q35" s="160" t="str">
        <f>LNOP!Q135</f>
        <v>.15-04</v>
      </c>
      <c r="R35" s="186" t="str">
        <f>LNOP!R135</f>
        <v>ctc</v>
      </c>
      <c r="S35" s="203">
        <f>LNOP!S135</f>
        <v>130</v>
      </c>
      <c r="T35" s="160" t="str">
        <f>LNOP!T135</f>
        <v>.15-04</v>
      </c>
      <c r="U35" s="186" t="str">
        <f>LNOP!U135</f>
        <v>b&amp;h</v>
      </c>
      <c r="V35" s="161"/>
      <c r="W35" s="141">
        <f t="shared" ref="W35:W41" si="5">I35*PI()*J35*J35*X35*X35/4000</f>
        <v>312.32457524928287</v>
      </c>
      <c r="X35" s="183">
        <v>1</v>
      </c>
      <c r="Y35" s="161"/>
    </row>
    <row r="36" spans="1:25" s="37" customFormat="1" ht="12.6" customHeight="1">
      <c r="A36" s="213" t="str">
        <f>CZ.V!A56</f>
        <v>Carl Zeiss</v>
      </c>
      <c r="B36" s="161" t="str">
        <f>CZ.V!B56</f>
        <v>Planar T* 135/2 CY</v>
      </c>
      <c r="C36" s="142">
        <f>CZ.V!C56</f>
        <v>135</v>
      </c>
      <c r="D36" s="142">
        <f>CZ.V!D56</f>
        <v>2</v>
      </c>
      <c r="E36" s="142">
        <f>CZ.V!E56</f>
        <v>216</v>
      </c>
      <c r="F36" s="214" t="str">
        <f>CZ.V!F56</f>
        <v>CY</v>
      </c>
      <c r="G36" s="215">
        <f>CZ.V!G56</f>
        <v>1.5</v>
      </c>
      <c r="H36" s="216">
        <f>CZ.V!H56</f>
        <v>0.79</v>
      </c>
      <c r="I36" s="141">
        <f>CZ.V!I56</f>
        <v>101</v>
      </c>
      <c r="J36" s="141">
        <f>CZ.V!J56</f>
        <v>75</v>
      </c>
      <c r="K36" s="142">
        <f>CZ.V!K56</f>
        <v>72</v>
      </c>
      <c r="L36" s="203">
        <f>CZ.V!L56</f>
        <v>832.5</v>
      </c>
      <c r="M36" s="160" t="str">
        <f>CZ.V!M56</f>
        <v>.16-05</v>
      </c>
      <c r="N36" s="203">
        <f>CZ.V!N56</f>
        <v>1251.7</v>
      </c>
      <c r="O36" s="160" t="str">
        <f>CZ.V!O56</f>
        <v>.16-03</v>
      </c>
      <c r="P36" s="203">
        <f>CZ.V!P56</f>
        <v>1600</v>
      </c>
      <c r="Q36" s="160" t="str">
        <f>CZ.V!Q56</f>
        <v>.15-01</v>
      </c>
      <c r="R36" s="186" t="str">
        <f>CZ.V!R56</f>
        <v>kevin</v>
      </c>
      <c r="S36" s="203">
        <f>CZ.V!S56</f>
        <v>2100</v>
      </c>
      <c r="T36" s="160" t="str">
        <f>CZ.V!T56</f>
        <v>.15-01</v>
      </c>
      <c r="U36" s="186" t="str">
        <f>CZ.V!U56</f>
        <v>kevin</v>
      </c>
      <c r="V36" s="161"/>
      <c r="W36" s="141">
        <f t="shared" si="5"/>
        <v>446.20433158017534</v>
      </c>
      <c r="X36" s="183">
        <v>1</v>
      </c>
      <c r="Y36" s="161"/>
    </row>
    <row r="37" spans="1:25" s="37" customFormat="1" ht="12.6" customHeight="1">
      <c r="A37" s="213" t="str">
        <f>LNOP!A57</f>
        <v>Nikon</v>
      </c>
      <c r="B37" s="161" t="str">
        <f>LNOP!B57</f>
        <v xml:space="preserve">Nikkor 135/2 AIS </v>
      </c>
      <c r="C37" s="142">
        <f>LNOP!C57</f>
        <v>135</v>
      </c>
      <c r="D37" s="142">
        <f>LNOP!D57</f>
        <v>2</v>
      </c>
      <c r="E37" s="142">
        <f>LNOP!E57</f>
        <v>216</v>
      </c>
      <c r="F37" s="214" t="str">
        <f>LNOP!F57</f>
        <v>AIS</v>
      </c>
      <c r="G37" s="215">
        <f>LNOP!G57</f>
        <v>1.3</v>
      </c>
      <c r="H37" s="216">
        <f>LNOP!H57</f>
        <v>0.86</v>
      </c>
      <c r="I37" s="141">
        <f>LNOP!I57</f>
        <v>93.5</v>
      </c>
      <c r="J37" s="141">
        <f>LNOP!J57</f>
        <v>80.5</v>
      </c>
      <c r="K37" s="142">
        <f>LNOP!K57</f>
        <v>72</v>
      </c>
      <c r="L37" s="203">
        <f>LNOP!L57</f>
        <v>375.88888888888891</v>
      </c>
      <c r="M37" s="160" t="str">
        <f>LNOP!M57</f>
        <v>.16-03</v>
      </c>
      <c r="N37" s="203">
        <f>LNOP!N57</f>
        <v>553.81818181818187</v>
      </c>
      <c r="O37" s="160" t="str">
        <f>LNOP!O57</f>
        <v>.16-05</v>
      </c>
      <c r="P37" s="203">
        <f>LNOP!P57</f>
        <v>650</v>
      </c>
      <c r="Q37" s="160" t="str">
        <f>LNOP!Q57</f>
        <v>.16-01</v>
      </c>
      <c r="R37" s="186" t="str">
        <f>LNOP!R57</f>
        <v>b&amp;h</v>
      </c>
      <c r="S37" s="203">
        <f>LNOP!S57</f>
        <v>750</v>
      </c>
      <c r="T37" s="160" t="str">
        <f>LNOP!T57</f>
        <v>.11-10</v>
      </c>
      <c r="U37" s="186" t="str">
        <f>LNOP!U57</f>
        <v>ado</v>
      </c>
      <c r="V37" s="161"/>
      <c r="W37" s="141">
        <f t="shared" si="5"/>
        <v>475.87539792131537</v>
      </c>
      <c r="X37" s="183">
        <v>1</v>
      </c>
      <c r="Y37" s="161"/>
    </row>
    <row r="38" spans="1:25" s="37" customFormat="1" ht="12.6" customHeight="1">
      <c r="A38" s="213" t="str">
        <f>LNOP!A134</f>
        <v>Pentax</v>
      </c>
      <c r="B38" s="161" t="str">
        <f>LNOP!B134</f>
        <v>SMC Pentax-A* 135mm f/1.8</v>
      </c>
      <c r="C38" s="142">
        <f>LNOP!C134</f>
        <v>135</v>
      </c>
      <c r="D38" s="142">
        <f>LNOP!D134</f>
        <v>1.8</v>
      </c>
      <c r="E38" s="142">
        <f>LNOP!E134</f>
        <v>216</v>
      </c>
      <c r="F38" s="214" t="str">
        <f>LNOP!F134</f>
        <v>KA</v>
      </c>
      <c r="G38" s="215">
        <f>LNOP!G134</f>
        <v>1.2</v>
      </c>
      <c r="H38" s="216">
        <f>LNOP!H134</f>
        <v>0.86499999999999999</v>
      </c>
      <c r="I38" s="141">
        <f>LNOP!I134</f>
        <v>98</v>
      </c>
      <c r="J38" s="141">
        <f>LNOP!J134</f>
        <v>80</v>
      </c>
      <c r="K38" s="142">
        <f>LNOP!K134</f>
        <v>77</v>
      </c>
      <c r="L38" s="203">
        <f>LNOP!L134</f>
        <v>1982</v>
      </c>
      <c r="M38" s="160" t="str">
        <f>LNOP!M134</f>
        <v>.16-05</v>
      </c>
      <c r="N38" s="203">
        <f>LNOP!N134</f>
        <v>2701.75</v>
      </c>
      <c r="O38" s="160" t="str">
        <f>LNOP!O134</f>
        <v>.16-03</v>
      </c>
      <c r="P38" s="203">
        <f>LNOP!P134</f>
        <v>2570</v>
      </c>
      <c r="Q38" s="160" t="str">
        <f>LNOP!Q134</f>
        <v>.13-09</v>
      </c>
      <c r="R38" s="186" t="str">
        <f>LNOP!R134</f>
        <v>keh</v>
      </c>
      <c r="S38" s="203" t="str">
        <f>LNOP!S134</f>
        <v xml:space="preserve"> </v>
      </c>
      <c r="T38" s="160" t="str">
        <f>LNOP!T134</f>
        <v xml:space="preserve"> </v>
      </c>
      <c r="U38" s="186" t="str">
        <f>LNOP!U134</f>
        <v xml:space="preserve"> </v>
      </c>
      <c r="V38" s="161"/>
      <c r="W38" s="141">
        <f t="shared" si="5"/>
        <v>492.60172808287956</v>
      </c>
      <c r="X38" s="183">
        <v>1</v>
      </c>
      <c r="Y38" s="161"/>
    </row>
    <row r="39" spans="1:25" s="37" customFormat="1" ht="12.6" customHeight="1">
      <c r="A39" s="213" t="str">
        <f>CZ.V!A29</f>
        <v>Carl Zeiss</v>
      </c>
      <c r="B39" s="161" t="str">
        <f>CZ.V!B29</f>
        <v>Apo Sonnar T* 135/2 ZE</v>
      </c>
      <c r="C39" s="142">
        <f>CZ.V!C29</f>
        <v>135</v>
      </c>
      <c r="D39" s="142">
        <f>CZ.V!D29</f>
        <v>2</v>
      </c>
      <c r="E39" s="142">
        <f>CZ.V!E29</f>
        <v>216</v>
      </c>
      <c r="F39" s="214" t="str">
        <f>CZ.V!F29</f>
        <v>ZE</v>
      </c>
      <c r="G39" s="215">
        <f>CZ.V!G29</f>
        <v>0.8</v>
      </c>
      <c r="H39" s="216">
        <f>CZ.V!H29</f>
        <v>0.93</v>
      </c>
      <c r="I39" s="141">
        <f>CZ.V!I29</f>
        <v>108</v>
      </c>
      <c r="J39" s="141">
        <f>CZ.V!J29</f>
        <v>84</v>
      </c>
      <c r="K39" s="142">
        <f>CZ.V!K29</f>
        <v>77</v>
      </c>
      <c r="L39" s="203">
        <f>CZ.V!L29</f>
        <v>1136.5</v>
      </c>
      <c r="M39" s="160" t="str">
        <f>CZ.V!M29</f>
        <v>.16-05</v>
      </c>
      <c r="N39" s="203">
        <f>CZ.V!N29</f>
        <v>1549.5</v>
      </c>
      <c r="O39" s="160" t="str">
        <f>CZ.V!O29</f>
        <v>.16-04</v>
      </c>
      <c r="P39" s="203">
        <f>CZ.V!P29</f>
        <v>1600</v>
      </c>
      <c r="Q39" s="160" t="str">
        <f>CZ.V!Q29</f>
        <v>.16-05</v>
      </c>
      <c r="R39" s="186" t="str">
        <f>CZ.V!R29</f>
        <v>keh</v>
      </c>
      <c r="S39" s="203">
        <f>CZ.V!S29</f>
        <v>1672</v>
      </c>
      <c r="T39" s="160" t="str">
        <f>CZ.V!T29</f>
        <v>.16-05</v>
      </c>
      <c r="U39" s="186" t="str">
        <f>CZ.V!U29</f>
        <v>keh</v>
      </c>
      <c r="V39" s="161"/>
      <c r="W39" s="141">
        <f t="shared" si="5"/>
        <v>598.5110996206987</v>
      </c>
      <c r="X39" s="183">
        <v>1</v>
      </c>
      <c r="Y39" s="161"/>
    </row>
    <row r="40" spans="1:25" s="37" customFormat="1" ht="12.6" customHeight="1">
      <c r="A40" s="213" t="str">
        <f>EFp!A43</f>
        <v>Canon</v>
      </c>
      <c r="B40" s="161" t="str">
        <f>EFp!B43</f>
        <v>EF 135/2 L USM</v>
      </c>
      <c r="C40" s="142">
        <f>EFp!C43</f>
        <v>135</v>
      </c>
      <c r="D40" s="142">
        <f>EFp!D43</f>
        <v>2</v>
      </c>
      <c r="E40" s="142">
        <f>EFp!E43</f>
        <v>216</v>
      </c>
      <c r="F40" s="214" t="str">
        <f>EFp!F43</f>
        <v>EF</v>
      </c>
      <c r="G40" s="215">
        <f>EFp!G43</f>
        <v>0.9</v>
      </c>
      <c r="H40" s="216">
        <f>EFp!H43</f>
        <v>0.75</v>
      </c>
      <c r="I40" s="141">
        <f>EFp!I43</f>
        <v>112</v>
      </c>
      <c r="J40" s="141">
        <f>EFp!J43</f>
        <v>82.5</v>
      </c>
      <c r="K40" s="142">
        <f>EFp!K43</f>
        <v>72</v>
      </c>
      <c r="L40" s="203">
        <f>EFp!L43</f>
        <v>660.36363636363637</v>
      </c>
      <c r="M40" s="160" t="str">
        <f>EFp!M43</f>
        <v>.16-05</v>
      </c>
      <c r="N40" s="203">
        <f>EFp!N43</f>
        <v>775.9</v>
      </c>
      <c r="O40" s="160" t="str">
        <f>EFp!O43</f>
        <v>.16-05</v>
      </c>
      <c r="P40" s="203">
        <f>EFp!P43</f>
        <v>822</v>
      </c>
      <c r="Q40" s="160" t="str">
        <f>EFp!Q43</f>
        <v>.15-04</v>
      </c>
      <c r="R40" s="186" t="str">
        <f>EFp!R43</f>
        <v>keh</v>
      </c>
      <c r="S40" s="203">
        <f>EFp!S43</f>
        <v>825</v>
      </c>
      <c r="T40" s="160" t="str">
        <f>EFp!T43</f>
        <v>.16-01</v>
      </c>
      <c r="U40" s="186" t="str">
        <f>EFp!U43</f>
        <v>camW</v>
      </c>
      <c r="V40" s="161"/>
      <c r="W40" s="141">
        <f t="shared" si="5"/>
        <v>598.70901995787483</v>
      </c>
      <c r="X40" s="183">
        <v>1</v>
      </c>
      <c r="Y40" s="161"/>
    </row>
    <row r="41" spans="1:25" s="19" customFormat="1" ht="12.6" customHeight="1">
      <c r="A41" s="205" t="str">
        <f>LNOP!A158</f>
        <v>Rokinon</v>
      </c>
      <c r="B41" s="193" t="str">
        <f>LNOP!B158</f>
        <v>135/2 ED UMC</v>
      </c>
      <c r="C41" s="211">
        <f>LNOP!C158</f>
        <v>135</v>
      </c>
      <c r="D41" s="211">
        <f>LNOP!D158</f>
        <v>2</v>
      </c>
      <c r="E41" s="211">
        <f>LNOP!E158</f>
        <v>216</v>
      </c>
      <c r="F41" s="212" t="str">
        <f>LNOP!F158</f>
        <v>x</v>
      </c>
      <c r="G41" s="195">
        <f>LNOP!G158</f>
        <v>0.8</v>
      </c>
      <c r="H41" s="176">
        <f>LNOP!H158</f>
        <v>0.83</v>
      </c>
      <c r="I41" s="172">
        <f>LNOP!I158</f>
        <v>122</v>
      </c>
      <c r="J41" s="172">
        <f>LNOP!J158</f>
        <v>82</v>
      </c>
      <c r="K41" s="211">
        <f>LNOP!K158</f>
        <v>77</v>
      </c>
      <c r="L41" s="197" t="str">
        <f>LNOP!L158</f>
        <v xml:space="preserve"> </v>
      </c>
      <c r="M41" s="206" t="str">
        <f>LNOP!M158</f>
        <v xml:space="preserve"> </v>
      </c>
      <c r="N41" s="197">
        <f>LNOP!N158</f>
        <v>401.5</v>
      </c>
      <c r="O41" s="206" t="str">
        <f>LNOP!O158</f>
        <v>.16-05</v>
      </c>
      <c r="P41" s="197" t="str">
        <f>LNOP!P158</f>
        <v xml:space="preserve"> </v>
      </c>
      <c r="Q41" s="206" t="str">
        <f>LNOP!Q158</f>
        <v xml:space="preserve"> </v>
      </c>
      <c r="R41" s="188" t="str">
        <f>LNOP!R158</f>
        <v xml:space="preserve"> </v>
      </c>
      <c r="S41" s="197">
        <f>LNOP!S158</f>
        <v>550</v>
      </c>
      <c r="T41" s="206" t="str">
        <f>LNOP!T158</f>
        <v>.15-07</v>
      </c>
      <c r="U41" s="188" t="str">
        <f>LNOP!U158</f>
        <v>b&amp;h</v>
      </c>
      <c r="V41" s="149"/>
      <c r="W41" s="141">
        <f t="shared" si="5"/>
        <v>644.28410458350209</v>
      </c>
      <c r="X41" s="170">
        <v>1</v>
      </c>
      <c r="Y41" s="149"/>
    </row>
    <row r="43" spans="1:25" s="37" customFormat="1" ht="12.6" customHeight="1">
      <c r="A43" s="213" t="str">
        <f>XF!A63</f>
        <v>Canon RF</v>
      </c>
      <c r="B43" s="161" t="str">
        <f>XF!B63</f>
        <v xml:space="preserve">S 85/1.8 </v>
      </c>
      <c r="C43" s="142">
        <f>XF!C63</f>
        <v>85</v>
      </c>
      <c r="D43" s="142">
        <f>XF!D63</f>
        <v>1.8</v>
      </c>
      <c r="E43" s="142">
        <f>XF!E63</f>
        <v>127.5</v>
      </c>
      <c r="F43" s="214" t="str">
        <f>XF!F63</f>
        <v>LTM</v>
      </c>
      <c r="G43" s="215">
        <f>XF!G63</f>
        <v>1</v>
      </c>
      <c r="H43" s="216">
        <f>XF!H63</f>
        <v>0.47</v>
      </c>
      <c r="I43" s="141">
        <f>XF!I63+10.3</f>
        <v>78.5</v>
      </c>
      <c r="J43" s="141">
        <f>XF!J63</f>
        <v>63.5</v>
      </c>
      <c r="K43" s="142">
        <f>XF!K63</f>
        <v>58</v>
      </c>
      <c r="L43" s="203">
        <f>XF!L63</f>
        <v>697.5</v>
      </c>
      <c r="M43" s="160" t="str">
        <f>XF!M63</f>
        <v>.16-05</v>
      </c>
      <c r="N43" s="203">
        <f>XF!N63</f>
        <v>1144</v>
      </c>
      <c r="O43" s="160" t="str">
        <f>XF!O63</f>
        <v>.16-04</v>
      </c>
      <c r="P43" s="203">
        <f>XF!P63</f>
        <v>750</v>
      </c>
      <c r="Q43" s="160" t="str">
        <f>XF!Q63</f>
        <v>.15-06</v>
      </c>
      <c r="R43" s="186" t="str">
        <f>XF!R63</f>
        <v>kevin</v>
      </c>
      <c r="S43" s="203">
        <f>XF!S63</f>
        <v>1300</v>
      </c>
      <c r="T43" s="160" t="str">
        <f>XF!T63</f>
        <v>.15-06</v>
      </c>
      <c r="U43" s="186" t="str">
        <f>XF!U63</f>
        <v>kevin</v>
      </c>
      <c r="V43" s="161"/>
      <c r="W43" s="141">
        <f t="shared" ref="W43:W44" si="6">I43*PI()*J43*J43*X43*X43/4000</f>
        <v>248.60335693220981</v>
      </c>
      <c r="X43" s="183">
        <v>1</v>
      </c>
      <c r="Y43" s="161"/>
    </row>
    <row r="44" spans="1:25" s="37" customFormat="1" ht="12.6" customHeight="1">
      <c r="A44" s="213" t="str">
        <f>LNOP!A130</f>
        <v>Pentax</v>
      </c>
      <c r="B44" s="161" t="str">
        <f>LNOP!B130</f>
        <v>SMC Pentax 85/1.8</v>
      </c>
      <c r="C44" s="142">
        <f>LNOP!C130</f>
        <v>85</v>
      </c>
      <c r="D44" s="142">
        <f>LNOP!D130</f>
        <v>1.8</v>
      </c>
      <c r="E44" s="142">
        <f>LNOP!E130</f>
        <v>136</v>
      </c>
      <c r="F44" s="214" t="str">
        <f>LNOP!F130</f>
        <v>K</v>
      </c>
      <c r="G44" s="215">
        <f>LNOP!G130</f>
        <v>0.85</v>
      </c>
      <c r="H44" s="216">
        <f>LNOP!H130</f>
        <v>0.33100000000000002</v>
      </c>
      <c r="I44" s="141">
        <f>LNOP!I130+27.8</f>
        <v>83.8</v>
      </c>
      <c r="J44" s="141">
        <f>LNOP!J130</f>
        <v>64</v>
      </c>
      <c r="K44" s="142">
        <f>LNOP!K130</f>
        <v>52</v>
      </c>
      <c r="L44" s="203">
        <f>LNOP!L130</f>
        <v>353.72727272727275</v>
      </c>
      <c r="M44" s="160" t="str">
        <f>LNOP!M130</f>
        <v>.16-05</v>
      </c>
      <c r="N44" s="203">
        <f>LNOP!N130</f>
        <v>450.08333333333331</v>
      </c>
      <c r="O44" s="160" t="str">
        <f>LNOP!O130</f>
        <v>.16-04</v>
      </c>
      <c r="P44" s="203">
        <f>LNOP!P130</f>
        <v>224.2</v>
      </c>
      <c r="Q44" s="160" t="str">
        <f>LNOP!Q130</f>
        <v>.16-05</v>
      </c>
      <c r="R44" s="186" t="str">
        <f>LNOP!R130</f>
        <v>v.v</v>
      </c>
      <c r="S44" s="203">
        <f>LNOP!S130</f>
        <v>850</v>
      </c>
      <c r="T44" s="160" t="str">
        <f>LNOP!T130</f>
        <v>.13-04</v>
      </c>
      <c r="U44" s="186" t="str">
        <f>LNOP!U130</f>
        <v>kevin</v>
      </c>
      <c r="V44" s="161"/>
      <c r="W44" s="141">
        <f t="shared" si="6"/>
        <v>269.58383551572445</v>
      </c>
      <c r="X44" s="183">
        <v>1</v>
      </c>
      <c r="Y44" s="161"/>
    </row>
    <row r="45" spans="1:25" s="19" customFormat="1" ht="12.6" customHeight="1">
      <c r="A45" s="205" t="str">
        <f>XF!A16</f>
        <v>Fujifilm</v>
      </c>
      <c r="B45" s="193" t="str">
        <f>XF!B16</f>
        <v>Fujinon XF 90/2 R</v>
      </c>
      <c r="C45" s="211">
        <f>XF!C16</f>
        <v>90</v>
      </c>
      <c r="D45" s="211">
        <f>XF!D16</f>
        <v>2</v>
      </c>
      <c r="E45" s="211">
        <f>XF!E16</f>
        <v>135</v>
      </c>
      <c r="F45" s="212" t="str">
        <f>XF!F16</f>
        <v>X</v>
      </c>
      <c r="G45" s="195">
        <f>XF!G16</f>
        <v>0.6</v>
      </c>
      <c r="H45" s="176">
        <f>XF!H16</f>
        <v>0.54</v>
      </c>
      <c r="I45" s="172">
        <f>XF!I16</f>
        <v>105</v>
      </c>
      <c r="J45" s="172">
        <f>XF!J16</f>
        <v>75</v>
      </c>
      <c r="K45" s="211">
        <f>XF!K16</f>
        <v>62</v>
      </c>
      <c r="L45" s="197">
        <f>XF!L16</f>
        <v>682.4</v>
      </c>
      <c r="M45" s="206" t="str">
        <f>XF!M16</f>
        <v>.16-05</v>
      </c>
      <c r="N45" s="197">
        <f>XF!N16</f>
        <v>778</v>
      </c>
      <c r="O45" s="206" t="str">
        <f>XF!O16</f>
        <v>.16-05</v>
      </c>
      <c r="P45" s="197" t="str">
        <f>XF!P16</f>
        <v xml:space="preserve"> </v>
      </c>
      <c r="Q45" s="206" t="str">
        <f>XF!Q16</f>
        <v xml:space="preserve"> </v>
      </c>
      <c r="R45" s="188" t="str">
        <f>XF!R16</f>
        <v xml:space="preserve"> </v>
      </c>
      <c r="S45" s="197" t="str">
        <f>XF!S16</f>
        <v xml:space="preserve"> </v>
      </c>
      <c r="T45" s="206" t="str">
        <f>XF!T16</f>
        <v xml:space="preserve"> </v>
      </c>
      <c r="U45" s="188" t="str">
        <f>XF!U16</f>
        <v xml:space="preserve"> </v>
      </c>
      <c r="V45" s="149"/>
      <c r="W45" s="141">
        <f t="shared" ref="W45" si="7">I45*PI()*J45*J45*X45*X45/4000</f>
        <v>463.87579025661796</v>
      </c>
      <c r="X45" s="170">
        <v>1</v>
      </c>
      <c r="Y45" s="149"/>
    </row>
    <row r="47" spans="1:25" s="37" customFormat="1" ht="12.6" customHeight="1">
      <c r="A47" s="213" t="str">
        <f>CZ.V!A68</f>
        <v>Carl Zeiss</v>
      </c>
      <c r="B47" s="161" t="str">
        <f>CZ.V!B68</f>
        <v>vSonnar T* 35-70/3.4 CY</v>
      </c>
      <c r="C47" s="142" t="str">
        <f>CZ.V!C68</f>
        <v>35-70</v>
      </c>
      <c r="D47" s="142">
        <f>CZ.V!D68</f>
        <v>3.4</v>
      </c>
      <c r="E47" s="142" t="str">
        <f>CZ.V!E68</f>
        <v>56-112</v>
      </c>
      <c r="F47" s="214" t="str">
        <f>CZ.V!F68</f>
        <v>CY</v>
      </c>
      <c r="G47" s="215">
        <f>CZ.V!G68</f>
        <v>0.25</v>
      </c>
      <c r="H47" s="216">
        <f>CZ.V!H68</f>
        <v>0.47499999999999998</v>
      </c>
      <c r="I47" s="141">
        <f>CZ.V!I68</f>
        <v>80.5</v>
      </c>
      <c r="J47" s="141">
        <f>CZ.V!J68</f>
        <v>70</v>
      </c>
      <c r="K47" s="142">
        <f>CZ.V!K68</f>
        <v>67</v>
      </c>
      <c r="L47" s="203">
        <f>CZ.V!L68</f>
        <v>327</v>
      </c>
      <c r="M47" s="160" t="str">
        <f>CZ.V!M68</f>
        <v>.16-04</v>
      </c>
      <c r="N47" s="203">
        <f>CZ.V!N68</f>
        <v>451.66666666666669</v>
      </c>
      <c r="O47" s="160" t="str">
        <f>CZ.V!O68</f>
        <v>.16-05</v>
      </c>
      <c r="P47" s="203">
        <f>CZ.V!P68</f>
        <v>550</v>
      </c>
      <c r="Q47" s="160" t="str">
        <f>CZ.V!Q68</f>
        <v>.14-08</v>
      </c>
      <c r="R47" s="186" t="str">
        <f>CZ.V!R68</f>
        <v>keh</v>
      </c>
      <c r="S47" s="203">
        <f>CZ.V!S68</f>
        <v>665</v>
      </c>
      <c r="T47" s="160" t="str">
        <f>CZ.V!T68</f>
        <v>.13-04</v>
      </c>
      <c r="U47" s="186" t="str">
        <f>CZ.V!U68</f>
        <v>keh</v>
      </c>
      <c r="V47" s="161"/>
      <c r="W47" s="141">
        <f t="shared" ref="W47:W48" si="8">I47*PI()*J47*J47*X47*X47/4000</f>
        <v>309.80030555212346</v>
      </c>
      <c r="X47" s="183">
        <v>1</v>
      </c>
      <c r="Y47" s="161"/>
    </row>
    <row r="48" spans="1:25" s="19" customFormat="1" ht="12.6" customHeight="1">
      <c r="A48" s="205" t="str">
        <f>LNOP!A93</f>
        <v>Olympus</v>
      </c>
      <c r="B48" s="193" t="str">
        <f>LNOP!B93</f>
        <v>Zuiko 35-70/3.6 Auto-Zoom</v>
      </c>
      <c r="C48" s="211" t="str">
        <f>LNOP!C93</f>
        <v>35-70</v>
      </c>
      <c r="D48" s="211">
        <f>LNOP!D93</f>
        <v>3.6</v>
      </c>
      <c r="E48" s="211" t="str">
        <f>LNOP!E93</f>
        <v xml:space="preserve"> </v>
      </c>
      <c r="F48" s="212" t="str">
        <f>LNOP!F93</f>
        <v>OM</v>
      </c>
      <c r="G48" s="195">
        <f>LNOP!G93</f>
        <v>0.8</v>
      </c>
      <c r="H48" s="176">
        <f>LNOP!H93</f>
        <v>0.4</v>
      </c>
      <c r="I48" s="172">
        <f>LNOP!I93</f>
        <v>74</v>
      </c>
      <c r="J48" s="172">
        <f>LNOP!J93</f>
        <v>67</v>
      </c>
      <c r="K48" s="211">
        <f>LNOP!K93</f>
        <v>55</v>
      </c>
      <c r="L48" s="197">
        <f>LNOP!L93</f>
        <v>52</v>
      </c>
      <c r="M48" s="206" t="str">
        <f>LNOP!M93</f>
        <v>.16-04</v>
      </c>
      <c r="N48" s="197">
        <f>LNOP!N93</f>
        <v>186</v>
      </c>
      <c r="O48" s="206" t="str">
        <f>LNOP!O93</f>
        <v>.16-05</v>
      </c>
      <c r="P48" s="197" t="str">
        <f>LNOP!P93</f>
        <v xml:space="preserve"> </v>
      </c>
      <c r="Q48" s="206" t="str">
        <f>LNOP!Q93</f>
        <v xml:space="preserve"> </v>
      </c>
      <c r="R48" s="188" t="str">
        <f>LNOP!R93</f>
        <v xml:space="preserve"> </v>
      </c>
      <c r="S48" s="197" t="str">
        <f>LNOP!S93</f>
        <v xml:space="preserve"> </v>
      </c>
      <c r="T48" s="206" t="str">
        <f>LNOP!T93</f>
        <v xml:space="preserve"> </v>
      </c>
      <c r="U48" s="188" t="str">
        <f>LNOP!U93</f>
        <v xml:space="preserve"> </v>
      </c>
      <c r="V48" s="149"/>
      <c r="W48" s="141">
        <f t="shared" si="8"/>
        <v>260.89827430634477</v>
      </c>
      <c r="X48" s="170">
        <v>1</v>
      </c>
      <c r="Y48" s="149"/>
    </row>
    <row r="50" spans="1:25" s="37" customFormat="1" ht="12.6" customHeight="1">
      <c r="A50" s="213" t="s">
        <v>122</v>
      </c>
      <c r="B50" s="161" t="s">
        <v>1084</v>
      </c>
      <c r="C50" s="142" t="s">
        <v>853</v>
      </c>
      <c r="D50" s="142">
        <v>3.5</v>
      </c>
      <c r="E50" s="142"/>
      <c r="F50" s="214"/>
      <c r="G50" s="215">
        <v>0.5</v>
      </c>
      <c r="H50" s="216">
        <v>0.28999999999999998</v>
      </c>
      <c r="I50" s="141">
        <v>64</v>
      </c>
      <c r="J50" s="141">
        <v>48</v>
      </c>
      <c r="K50" s="142">
        <v>58</v>
      </c>
      <c r="L50" s="203"/>
      <c r="M50" s="160"/>
      <c r="N50" s="203"/>
      <c r="O50" s="160"/>
      <c r="P50" s="203"/>
      <c r="Q50" s="160"/>
      <c r="R50" s="186"/>
      <c r="S50" s="203"/>
      <c r="T50" s="160"/>
      <c r="U50" s="186"/>
      <c r="V50" s="161"/>
      <c r="W50" s="141">
        <f t="shared" ref="W50:W52" si="9">I50*PI()*J50*J50*X50*X50/4000</f>
        <v>115.81167158193414</v>
      </c>
      <c r="X50" s="183">
        <v>1</v>
      </c>
      <c r="Y50" s="161"/>
    </row>
    <row r="51" spans="1:25" s="37" customFormat="1" ht="12.6" customHeight="1">
      <c r="A51" s="213" t="str">
        <f t="shared" ref="A51:U51" si="10">A47</f>
        <v>Carl Zeiss</v>
      </c>
      <c r="B51" s="161" t="str">
        <f t="shared" si="10"/>
        <v>vSonnar T* 35-70/3.4 CY</v>
      </c>
      <c r="C51" s="142" t="str">
        <f t="shared" si="10"/>
        <v>35-70</v>
      </c>
      <c r="D51" s="142">
        <f t="shared" si="10"/>
        <v>3.4</v>
      </c>
      <c r="E51" s="142" t="str">
        <f t="shared" si="10"/>
        <v>56-112</v>
      </c>
      <c r="F51" s="214" t="str">
        <f t="shared" si="10"/>
        <v>CY</v>
      </c>
      <c r="G51" s="215">
        <f t="shared" si="10"/>
        <v>0.25</v>
      </c>
      <c r="H51" s="216">
        <f t="shared" si="10"/>
        <v>0.47499999999999998</v>
      </c>
      <c r="I51" s="141">
        <f t="shared" si="10"/>
        <v>80.5</v>
      </c>
      <c r="J51" s="141">
        <f t="shared" si="10"/>
        <v>70</v>
      </c>
      <c r="K51" s="142">
        <f t="shared" si="10"/>
        <v>67</v>
      </c>
      <c r="L51" s="203">
        <f t="shared" si="10"/>
        <v>327</v>
      </c>
      <c r="M51" s="160" t="str">
        <f t="shared" si="10"/>
        <v>.16-04</v>
      </c>
      <c r="N51" s="203">
        <f t="shared" si="10"/>
        <v>451.66666666666669</v>
      </c>
      <c r="O51" s="160" t="str">
        <f t="shared" si="10"/>
        <v>.16-05</v>
      </c>
      <c r="P51" s="203">
        <f t="shared" si="10"/>
        <v>550</v>
      </c>
      <c r="Q51" s="160" t="str">
        <f t="shared" si="10"/>
        <v>.14-08</v>
      </c>
      <c r="R51" s="186" t="str">
        <f t="shared" si="10"/>
        <v>keh</v>
      </c>
      <c r="S51" s="203">
        <f t="shared" si="10"/>
        <v>665</v>
      </c>
      <c r="T51" s="160" t="str">
        <f t="shared" si="10"/>
        <v>.13-04</v>
      </c>
      <c r="U51" s="186" t="str">
        <f t="shared" si="10"/>
        <v>keh</v>
      </c>
      <c r="V51" s="161"/>
      <c r="W51" s="141">
        <f t="shared" si="9"/>
        <v>309.80030555212346</v>
      </c>
      <c r="X51" s="183">
        <v>1</v>
      </c>
      <c r="Y51" s="161"/>
    </row>
    <row r="52" spans="1:25" s="19" customFormat="1" ht="12.6" customHeight="1">
      <c r="A52" s="205" t="s">
        <v>122</v>
      </c>
      <c r="B52" s="193" t="s">
        <v>1085</v>
      </c>
      <c r="C52" s="211" t="s">
        <v>1037</v>
      </c>
      <c r="D52" s="211">
        <v>4</v>
      </c>
      <c r="E52" s="211" t="s">
        <v>16</v>
      </c>
      <c r="F52" s="212"/>
      <c r="G52" s="195">
        <v>1.2</v>
      </c>
      <c r="H52" s="176">
        <v>0.46500000000000002</v>
      </c>
      <c r="I52" s="172">
        <v>64</v>
      </c>
      <c r="J52" s="172">
        <v>111</v>
      </c>
      <c r="K52" s="211">
        <v>49</v>
      </c>
      <c r="L52" s="197"/>
      <c r="M52" s="206"/>
      <c r="N52" s="197"/>
      <c r="O52" s="206"/>
      <c r="P52" s="197"/>
      <c r="Q52" s="206"/>
      <c r="R52" s="188"/>
      <c r="S52" s="197"/>
      <c r="T52" s="206"/>
      <c r="U52" s="188"/>
      <c r="V52" s="149"/>
      <c r="W52" s="141">
        <f t="shared" si="9"/>
        <v>619.32100935807739</v>
      </c>
      <c r="X52" s="170">
        <v>1</v>
      </c>
      <c r="Y52" s="149"/>
    </row>
    <row r="54" spans="1:25" s="37" customFormat="1" ht="12.6" customHeight="1">
      <c r="A54" s="213" t="str">
        <f>EFp!A51</f>
        <v>Canon</v>
      </c>
      <c r="B54" s="161" t="str">
        <f>EFp!B51</f>
        <v>EF 300/2.8 L IS USM</v>
      </c>
      <c r="C54" s="142">
        <f>EFp!C51</f>
        <v>300</v>
      </c>
      <c r="D54" s="142">
        <f>EFp!D51</f>
        <v>2.8</v>
      </c>
      <c r="E54" s="142">
        <f>EFp!E51</f>
        <v>480</v>
      </c>
      <c r="F54" s="214" t="str">
        <f>EFp!F51</f>
        <v>EF</v>
      </c>
      <c r="G54" s="215">
        <f>EFp!G51</f>
        <v>2.5</v>
      </c>
      <c r="H54" s="216">
        <f>EFp!H51</f>
        <v>2.5499999999999998</v>
      </c>
      <c r="I54" s="141">
        <f>EFp!I51</f>
        <v>252</v>
      </c>
      <c r="J54" s="141">
        <f>EFp!J51</f>
        <v>128</v>
      </c>
      <c r="K54" s="142" t="str">
        <f>EFp!K51</f>
        <v>52 di</v>
      </c>
      <c r="L54" s="203">
        <f>EFp!L51</f>
        <v>2929.625</v>
      </c>
      <c r="M54" s="160" t="str">
        <f>EFp!M51</f>
        <v>.16-05</v>
      </c>
      <c r="N54" s="203">
        <f>EFp!N51</f>
        <v>3841.4872777777782</v>
      </c>
      <c r="O54" s="160" t="str">
        <f>EFp!O51</f>
        <v>.16-01</v>
      </c>
      <c r="P54" s="203">
        <f>EFp!P51</f>
        <v>1995</v>
      </c>
      <c r="Q54" s="160" t="str">
        <f>EFp!Q51</f>
        <v>.16-01</v>
      </c>
      <c r="R54" s="186" t="str">
        <f>EFp!R51</f>
        <v>igor</v>
      </c>
      <c r="S54" s="203">
        <f>EFp!S51</f>
        <v>3648</v>
      </c>
      <c r="T54" s="160" t="str">
        <f>EFp!T51</f>
        <v>.16-01</v>
      </c>
      <c r="U54" s="186" t="str">
        <f>EFp!U51</f>
        <v>camtec</v>
      </c>
      <c r="V54" s="161"/>
      <c r="W54" s="141">
        <f t="shared" ref="W54:W56" si="11">I54*PI()*J54*J54*X54*X54/4000</f>
        <v>3242.726804294156</v>
      </c>
      <c r="X54" s="183">
        <v>1</v>
      </c>
      <c r="Y54" s="161"/>
    </row>
    <row r="55" spans="1:25" s="37" customFormat="1" ht="12.6" customHeight="1">
      <c r="A55" s="213" t="str">
        <f>EFp!A62</f>
        <v>Canon</v>
      </c>
      <c r="B55" s="161" t="str">
        <f>EFp!B62</f>
        <v xml:space="preserve">EF 500/4 L IS USM </v>
      </c>
      <c r="C55" s="142">
        <f>EFp!C62</f>
        <v>500</v>
      </c>
      <c r="D55" s="142">
        <f>EFp!D62</f>
        <v>4</v>
      </c>
      <c r="E55" s="142">
        <f>EFp!E62</f>
        <v>800</v>
      </c>
      <c r="F55" s="214" t="str">
        <f>EFp!F62</f>
        <v>EF</v>
      </c>
      <c r="G55" s="215">
        <f>EFp!G62</f>
        <v>4.5</v>
      </c>
      <c r="H55" s="216">
        <f>EFp!H62</f>
        <v>3.87</v>
      </c>
      <c r="I55" s="141">
        <f>EFp!I62</f>
        <v>387</v>
      </c>
      <c r="J55" s="141">
        <f>EFp!J62</f>
        <v>146</v>
      </c>
      <c r="K55" s="142" t="str">
        <f>EFp!K62</f>
        <v>52 di</v>
      </c>
      <c r="L55" s="203">
        <f>EFp!L62</f>
        <v>4604</v>
      </c>
      <c r="M55" s="160" t="str">
        <f>EFp!M62</f>
        <v>.16-04</v>
      </c>
      <c r="N55" s="203">
        <f>EFp!N62</f>
        <v>5434.6</v>
      </c>
      <c r="O55" s="160" t="str">
        <f>EFp!O62</f>
        <v>.16-05</v>
      </c>
      <c r="P55" s="203">
        <f>EFp!P62</f>
        <v>5000</v>
      </c>
      <c r="Q55" s="160" t="str">
        <f>EFp!Q62</f>
        <v>.16-01</v>
      </c>
      <c r="R55" s="186" t="str">
        <f>EFp!R62</f>
        <v>b&amp;h</v>
      </c>
      <c r="S55" s="203">
        <f>EFp!S62</f>
        <v>5300</v>
      </c>
      <c r="T55" s="160" t="str">
        <f>EFp!T62</f>
        <v>.16-01</v>
      </c>
      <c r="U55" s="186" t="str">
        <f>EFp!U62</f>
        <v>b&amp;h</v>
      </c>
      <c r="V55" s="161"/>
      <c r="W55" s="141">
        <f t="shared" si="11"/>
        <v>6478.9787861292634</v>
      </c>
      <c r="X55" s="183">
        <v>1</v>
      </c>
      <c r="Y55" s="161"/>
    </row>
    <row r="56" spans="1:25" s="19" customFormat="1" ht="12.6" customHeight="1">
      <c r="A56" s="205" t="str">
        <f>EFz!A25</f>
        <v>Canon</v>
      </c>
      <c r="B56" s="193" t="str">
        <f>EFz!B25</f>
        <v>EF 200-400/4 L IS 1.4x</v>
      </c>
      <c r="C56" s="211" t="str">
        <f>EFz!C25</f>
        <v>200-400</v>
      </c>
      <c r="D56" s="211" t="str">
        <f>EFz!D25</f>
        <v>4, 5.6</v>
      </c>
      <c r="E56" s="211" t="str">
        <f>EFz!E25</f>
        <v>320-640</v>
      </c>
      <c r="F56" s="212" t="str">
        <f>EFz!F25</f>
        <v>EF</v>
      </c>
      <c r="G56" s="195">
        <f>EFz!G25</f>
        <v>2</v>
      </c>
      <c r="H56" s="176">
        <f>EFz!H25</f>
        <v>3.62</v>
      </c>
      <c r="I56" s="172">
        <f>EFz!I25</f>
        <v>366</v>
      </c>
      <c r="J56" s="172">
        <f>EFz!J25</f>
        <v>128</v>
      </c>
      <c r="K56" s="211" t="str">
        <f>EFz!K25</f>
        <v>52di</v>
      </c>
      <c r="L56" s="197">
        <f>EFz!L25</f>
        <v>7521.666666666667</v>
      </c>
      <c r="M56" s="206" t="str">
        <f>EFz!M25</f>
        <v>.15-10</v>
      </c>
      <c r="N56" s="197">
        <f>EFz!N25</f>
        <v>8050</v>
      </c>
      <c r="O56" s="206" t="str">
        <f>EFz!O25</f>
        <v>.16-04</v>
      </c>
      <c r="P56" s="197">
        <f>EFz!P25</f>
        <v>9010</v>
      </c>
      <c r="Q56" s="206" t="str">
        <f>EFz!Q25</f>
        <v>.16-01</v>
      </c>
      <c r="R56" s="188" t="str">
        <f>EFz!R25</f>
        <v>LA</v>
      </c>
      <c r="S56" s="197">
        <f>EFz!S25</f>
        <v>9500</v>
      </c>
      <c r="T56" s="206" t="str">
        <f>EFz!T25</f>
        <v>.15-04</v>
      </c>
      <c r="U56" s="188" t="str">
        <f>EFz!U25</f>
        <v>b&amp;h</v>
      </c>
      <c r="V56" s="149"/>
      <c r="W56" s="141">
        <f t="shared" si="11"/>
        <v>4709.674644331988</v>
      </c>
      <c r="X56" s="170">
        <v>1</v>
      </c>
      <c r="Y56" s="149"/>
    </row>
  </sheetData>
  <sortState ref="A13:AB20">
    <sortCondition ref="W13:W20"/>
  </sortState>
  <conditionalFormatting sqref="M7:M9 O7:O9 M19 O19">
    <cfRule type="cellIs" dxfId="26" priority="48" stopIfTrue="1" operator="lessThan">
      <formula>".08-09"</formula>
    </cfRule>
  </conditionalFormatting>
  <conditionalFormatting sqref="O12 M12">
    <cfRule type="cellIs" dxfId="25" priority="45" stopIfTrue="1" operator="lessThan">
      <formula>".08-09"</formula>
    </cfRule>
  </conditionalFormatting>
  <conditionalFormatting sqref="O13 M13">
    <cfRule type="cellIs" dxfId="24" priority="44" stopIfTrue="1" operator="lessThan">
      <formula>".08-09"</formula>
    </cfRule>
  </conditionalFormatting>
  <conditionalFormatting sqref="O14 M14">
    <cfRule type="cellIs" dxfId="23" priority="43" stopIfTrue="1" operator="lessThan">
      <formula>".08-09"</formula>
    </cfRule>
  </conditionalFormatting>
  <conditionalFormatting sqref="O15 M15">
    <cfRule type="cellIs" dxfId="22" priority="42" stopIfTrue="1" operator="lessThan">
      <formula>".08-09"</formula>
    </cfRule>
  </conditionalFormatting>
  <conditionalFormatting sqref="O18 M18">
    <cfRule type="cellIs" dxfId="21" priority="40" stopIfTrue="1" operator="lessThan">
      <formula>".08-09"</formula>
    </cfRule>
  </conditionalFormatting>
  <conditionalFormatting sqref="O21:O24 M21:M24">
    <cfRule type="cellIs" dxfId="20" priority="39" stopIfTrue="1" operator="lessThan">
      <formula>".08-09"</formula>
    </cfRule>
  </conditionalFormatting>
  <conditionalFormatting sqref="O17 M17">
    <cfRule type="cellIs" dxfId="19" priority="38" stopIfTrue="1" operator="lessThan">
      <formula>".08-09"</formula>
    </cfRule>
  </conditionalFormatting>
  <conditionalFormatting sqref="O28:O29 M28:M29 M31 O31">
    <cfRule type="cellIs" dxfId="18" priority="35" stopIfTrue="1" operator="lessThan">
      <formula>".08-09"</formula>
    </cfRule>
  </conditionalFormatting>
  <conditionalFormatting sqref="O16 M16">
    <cfRule type="cellIs" dxfId="17" priority="29" stopIfTrue="1" operator="lessThan">
      <formula>".08-09"</formula>
    </cfRule>
  </conditionalFormatting>
  <conditionalFormatting sqref="O35:O36 M35:M36 M38:M40 O38:O40">
    <cfRule type="cellIs" dxfId="16" priority="24" stopIfTrue="1" operator="lessThan">
      <formula>".08-09"</formula>
    </cfRule>
  </conditionalFormatting>
  <conditionalFormatting sqref="O37 M37">
    <cfRule type="cellIs" dxfId="15" priority="22" stopIfTrue="1" operator="lessThan">
      <formula>".08-09"</formula>
    </cfRule>
  </conditionalFormatting>
  <conditionalFormatting sqref="M43 O43">
    <cfRule type="cellIs" dxfId="14" priority="21" stopIfTrue="1" operator="lessThan">
      <formula>".08-09"</formula>
    </cfRule>
  </conditionalFormatting>
  <conditionalFormatting sqref="O44 M44">
    <cfRule type="cellIs" dxfId="13" priority="20" stopIfTrue="1" operator="lessThan">
      <formula>".08-09"</formula>
    </cfRule>
  </conditionalFormatting>
  <conditionalFormatting sqref="M26 O26">
    <cfRule type="cellIs" dxfId="12" priority="16" stopIfTrue="1" operator="lessThan">
      <formula>".08-09"</formula>
    </cfRule>
  </conditionalFormatting>
  <conditionalFormatting sqref="O32 M32">
    <cfRule type="cellIs" dxfId="11" priority="13" stopIfTrue="1" operator="lessThan">
      <formula>".08-09"</formula>
    </cfRule>
  </conditionalFormatting>
  <conditionalFormatting sqref="O30 M30">
    <cfRule type="cellIs" dxfId="10" priority="12" stopIfTrue="1" operator="lessThan">
      <formula>".08-09"</formula>
    </cfRule>
  </conditionalFormatting>
  <conditionalFormatting sqref="M27 O27">
    <cfRule type="cellIs" dxfId="9" priority="11" stopIfTrue="1" operator="lessThan">
      <formula>".08-09"</formula>
    </cfRule>
  </conditionalFormatting>
  <conditionalFormatting sqref="M47 O47">
    <cfRule type="cellIs" dxfId="8" priority="10" stopIfTrue="1" operator="lessThan">
      <formula>".08-09"</formula>
    </cfRule>
  </conditionalFormatting>
  <conditionalFormatting sqref="M33 O33">
    <cfRule type="cellIs" dxfId="7" priority="6" stopIfTrue="1" operator="lessThan">
      <formula>".08-09"</formula>
    </cfRule>
  </conditionalFormatting>
  <conditionalFormatting sqref="M50:M51 O50:O51">
    <cfRule type="cellIs" dxfId="6" priority="8" stopIfTrue="1" operator="lessThan">
      <formula>".08-09"</formula>
    </cfRule>
  </conditionalFormatting>
  <conditionalFormatting sqref="M54:M55 O54:O55">
    <cfRule type="cellIs" dxfId="5" priority="7" stopIfTrue="1" operator="lessThan">
      <formula>".08-09"</formula>
    </cfRule>
  </conditionalFormatting>
  <conditionalFormatting sqref="M41 O41">
    <cfRule type="cellIs" dxfId="4" priority="5" stopIfTrue="1" operator="lessThan">
      <formula>".08-09"</formula>
    </cfRule>
  </conditionalFormatting>
  <conditionalFormatting sqref="M45 O45">
    <cfRule type="cellIs" dxfId="3" priority="4" stopIfTrue="1" operator="lessThan">
      <formula>".08-09"</formula>
    </cfRule>
  </conditionalFormatting>
  <conditionalFormatting sqref="M48 O48">
    <cfRule type="cellIs" dxfId="2" priority="3" stopIfTrue="1" operator="lessThan">
      <formula>".08-09"</formula>
    </cfRule>
  </conditionalFormatting>
  <conditionalFormatting sqref="M52 O52">
    <cfRule type="cellIs" dxfId="1" priority="2" stopIfTrue="1" operator="lessThan">
      <formula>".08-09"</formula>
    </cfRule>
  </conditionalFormatting>
  <conditionalFormatting sqref="M56 O56">
    <cfRule type="cellIs" dxfId="0"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81"/>
  <sheetViews>
    <sheetView zoomScaleNormal="100" workbookViewId="0"/>
  </sheetViews>
  <sheetFormatPr defaultRowHeight="12.6" customHeight="1"/>
  <cols>
    <col min="1" max="1" width="7.85546875" style="19" customWidth="1"/>
    <col min="2" max="2" width="20.140625" style="60" customWidth="1"/>
    <col min="3" max="3" width="4.7109375" style="15" customWidth="1"/>
    <col min="4" max="4" width="6.28515625" style="17" customWidth="1"/>
    <col min="5" max="5" width="6.28515625" style="15" customWidth="1"/>
    <col min="6" max="6" width="4.85546875" style="15" customWidth="1"/>
    <col min="7" max="7" width="5.28515625" style="48" customWidth="1"/>
    <col min="8" max="11" width="5.28515625" style="17" customWidth="1"/>
    <col min="12" max="12" width="5.28515625" style="15" customWidth="1"/>
    <col min="13" max="13" width="5.28515625" style="17" customWidth="1"/>
    <col min="14" max="14" width="5.28515625" style="15" customWidth="1"/>
    <col min="15" max="15" width="5.28515625" style="17" customWidth="1"/>
    <col min="16" max="16" width="5.28515625" style="15" customWidth="1"/>
    <col min="17" max="17" width="5.28515625" style="17" customWidth="1"/>
    <col min="18" max="18" width="6.42578125" style="17" customWidth="1"/>
    <col min="19" max="19" width="5.28515625" style="16" customWidth="1"/>
    <col min="20" max="20" width="5.28515625" style="17" customWidth="1"/>
    <col min="21" max="21" width="6.42578125" style="17" customWidth="1"/>
    <col min="22" max="22" width="2.5703125" style="19" customWidth="1"/>
    <col min="23" max="23" width="2.28515625" style="17" customWidth="1"/>
    <col min="24" max="16384" width="9.140625" style="19"/>
  </cols>
  <sheetData>
    <row r="1" spans="1:24" s="37" customFormat="1" ht="12.6" customHeight="1">
      <c r="A1" s="20" t="str">
        <f>i!A1</f>
        <v>Lens$db: Lens Price database</v>
      </c>
      <c r="B1" s="45"/>
      <c r="C1" s="46"/>
      <c r="D1" s="20"/>
      <c r="E1" s="46"/>
      <c r="F1" s="46"/>
      <c r="G1" s="30"/>
      <c r="H1" s="30"/>
      <c r="I1" s="16" t="s">
        <v>16</v>
      </c>
      <c r="J1" s="30"/>
      <c r="K1" s="16" t="s">
        <v>16</v>
      </c>
      <c r="L1" s="16"/>
      <c r="M1" s="18"/>
      <c r="N1" s="16"/>
      <c r="O1" s="18"/>
      <c r="P1" s="16" t="s">
        <v>16</v>
      </c>
      <c r="Q1" s="18" t="s">
        <v>16</v>
      </c>
      <c r="R1" s="47" t="str">
        <f>i!B3</f>
        <v>.2016-06-01</v>
      </c>
      <c r="S1" s="47"/>
      <c r="T1" s="18"/>
      <c r="U1" s="16" t="s">
        <v>16</v>
      </c>
      <c r="W1" s="18"/>
    </row>
    <row r="2" spans="1:24" s="37" customFormat="1" ht="12.6" customHeight="1">
      <c r="A2" s="143" t="str">
        <f>i!A3</f>
        <v>v.31</v>
      </c>
      <c r="B2" s="45"/>
      <c r="C2" s="46"/>
      <c r="D2" s="20"/>
      <c r="E2" s="46"/>
      <c r="F2" s="46"/>
      <c r="G2" s="30"/>
      <c r="H2" s="30"/>
      <c r="I2" s="16"/>
      <c r="J2" s="30"/>
      <c r="K2" s="16"/>
      <c r="L2" s="16"/>
      <c r="M2" s="18"/>
      <c r="N2" s="16"/>
      <c r="O2" s="18"/>
      <c r="P2" s="16"/>
      <c r="Q2" s="18"/>
      <c r="R2" s="47"/>
      <c r="S2" s="47"/>
      <c r="T2" s="18"/>
      <c r="U2" s="16"/>
      <c r="W2" s="18"/>
    </row>
    <row r="3" spans="1:24" s="37" customFormat="1" ht="12.6" customHeight="1">
      <c r="A3" s="30"/>
      <c r="B3" s="45"/>
      <c r="C3" s="49"/>
      <c r="D3" s="21"/>
      <c r="E3" s="49"/>
      <c r="F3" s="49"/>
      <c r="G3" s="50"/>
      <c r="H3" s="50"/>
      <c r="I3" s="50"/>
      <c r="J3" s="50"/>
      <c r="K3" s="128"/>
      <c r="L3" s="51"/>
      <c r="M3" s="28"/>
      <c r="N3" s="127" t="s">
        <v>17</v>
      </c>
      <c r="O3" s="28"/>
      <c r="P3" s="134"/>
      <c r="Q3" s="90"/>
      <c r="R3" s="90" t="s">
        <v>18</v>
      </c>
      <c r="S3" s="28"/>
      <c r="T3" s="28"/>
      <c r="U3" s="29"/>
      <c r="W3" s="18"/>
    </row>
    <row r="4" spans="1:24" s="37" customFormat="1" ht="12.6" customHeight="1">
      <c r="A4" s="30" t="s">
        <v>36</v>
      </c>
      <c r="B4" s="63"/>
      <c r="C4" s="36" t="s">
        <v>6</v>
      </c>
      <c r="D4" s="36" t="s">
        <v>11</v>
      </c>
      <c r="E4" s="36" t="s">
        <v>760</v>
      </c>
      <c r="F4" s="66" t="s">
        <v>13</v>
      </c>
      <c r="G4" s="58" t="s">
        <v>277</v>
      </c>
      <c r="H4" s="53" t="s">
        <v>7</v>
      </c>
      <c r="I4" s="16" t="s">
        <v>325</v>
      </c>
      <c r="J4" s="16" t="s">
        <v>326</v>
      </c>
      <c r="K4" s="31" t="s">
        <v>327</v>
      </c>
      <c r="L4" s="32" t="s">
        <v>506</v>
      </c>
      <c r="M4" s="33"/>
      <c r="N4" s="34" t="s">
        <v>19</v>
      </c>
      <c r="O4" s="27"/>
      <c r="P4" s="54"/>
      <c r="Q4" s="28" t="s">
        <v>507</v>
      </c>
      <c r="R4" s="29"/>
      <c r="S4" s="127"/>
      <c r="T4" s="33" t="s">
        <v>9</v>
      </c>
      <c r="U4" s="33"/>
      <c r="W4" s="18"/>
    </row>
    <row r="5" spans="1:24" s="37" customFormat="1" ht="12.6" customHeight="1">
      <c r="A5" s="38" t="s">
        <v>16</v>
      </c>
      <c r="B5" s="64" t="s">
        <v>16</v>
      </c>
      <c r="C5" s="24" t="s">
        <v>20</v>
      </c>
      <c r="D5" s="24" t="s">
        <v>16</v>
      </c>
      <c r="E5" s="24" t="s">
        <v>16</v>
      </c>
      <c r="F5" s="65" t="s">
        <v>16</v>
      </c>
      <c r="G5" s="55" t="s">
        <v>37</v>
      </c>
      <c r="H5" s="56" t="s">
        <v>21</v>
      </c>
      <c r="I5" s="27" t="s">
        <v>20</v>
      </c>
      <c r="J5" s="27" t="s">
        <v>20</v>
      </c>
      <c r="K5" s="33" t="s">
        <v>20</v>
      </c>
      <c r="L5" s="26" t="s">
        <v>22</v>
      </c>
      <c r="M5" s="33" t="s">
        <v>23</v>
      </c>
      <c r="N5" s="27" t="s">
        <v>22</v>
      </c>
      <c r="O5" s="33" t="s">
        <v>23</v>
      </c>
      <c r="P5" s="26" t="s">
        <v>22</v>
      </c>
      <c r="Q5" s="27" t="s">
        <v>23</v>
      </c>
      <c r="R5" s="33" t="s">
        <v>24</v>
      </c>
      <c r="S5" s="35" t="s">
        <v>22</v>
      </c>
      <c r="T5" s="28" t="s">
        <v>23</v>
      </c>
      <c r="U5" s="29" t="s">
        <v>24</v>
      </c>
      <c r="W5" s="18"/>
    </row>
    <row r="6" spans="1:24" ht="12.6" customHeight="1">
      <c r="A6" s="57" t="s">
        <v>38</v>
      </c>
      <c r="B6" s="11" t="s">
        <v>920</v>
      </c>
      <c r="C6" s="16">
        <v>14</v>
      </c>
      <c r="D6" s="18">
        <v>2.8</v>
      </c>
      <c r="E6" s="31">
        <f>1.6*C6</f>
        <v>22.400000000000002</v>
      </c>
      <c r="F6" s="16" t="s">
        <v>39</v>
      </c>
      <c r="G6" s="58">
        <v>0.25</v>
      </c>
      <c r="H6" s="53">
        <v>0.56000000000000005</v>
      </c>
      <c r="I6" s="16">
        <v>89</v>
      </c>
      <c r="J6" s="16">
        <v>77</v>
      </c>
      <c r="K6" s="18" t="s">
        <v>40</v>
      </c>
      <c r="L6" s="25">
        <f>AVERAGE(739,850,720,770,750,950,885,723)</f>
        <v>798.375</v>
      </c>
      <c r="M6" s="36" t="s">
        <v>1092</v>
      </c>
      <c r="N6" s="25">
        <f>AVERAGE(1059,1000,1199,1129,1130,1210,1100,1255,1035)</f>
        <v>1124.1111111111111</v>
      </c>
      <c r="O6" s="73" t="s">
        <v>1001</v>
      </c>
      <c r="P6" s="25">
        <f>1500*CA.US</f>
        <v>1140</v>
      </c>
      <c r="Q6" s="36" t="s">
        <v>862</v>
      </c>
      <c r="R6" s="31" t="s">
        <v>856</v>
      </c>
      <c r="S6" s="25" t="s">
        <v>16</v>
      </c>
      <c r="T6" s="36" t="s">
        <v>16</v>
      </c>
      <c r="U6" s="31" t="s">
        <v>16</v>
      </c>
    </row>
    <row r="7" spans="1:24" ht="12.6" customHeight="1">
      <c r="A7" s="57" t="s">
        <v>38</v>
      </c>
      <c r="B7" s="11" t="s">
        <v>921</v>
      </c>
      <c r="C7" s="16">
        <v>14</v>
      </c>
      <c r="D7" s="18">
        <v>2.8</v>
      </c>
      <c r="E7" s="31">
        <f t="shared" ref="E7:E32" si="0">1.6*C7</f>
        <v>22.400000000000002</v>
      </c>
      <c r="F7" s="16" t="s">
        <v>39</v>
      </c>
      <c r="G7" s="58">
        <v>0.2</v>
      </c>
      <c r="H7" s="53">
        <v>0.64500000000000002</v>
      </c>
      <c r="I7" s="16">
        <v>94</v>
      </c>
      <c r="J7" s="16">
        <v>80</v>
      </c>
      <c r="K7" s="18" t="s">
        <v>40</v>
      </c>
      <c r="L7" s="25">
        <f>AVERAGE(1100,1161,1200,1125,1075,1099,1246,1191,1280,1199)</f>
        <v>1167.5999999999999</v>
      </c>
      <c r="M7" s="36" t="s">
        <v>1092</v>
      </c>
      <c r="N7" s="25">
        <f>AVERAGE(1500,1300,1400,1429,1200,1699)</f>
        <v>1421.3333333333333</v>
      </c>
      <c r="O7" s="73" t="s">
        <v>1092</v>
      </c>
      <c r="P7" s="25">
        <v>1295</v>
      </c>
      <c r="Q7" s="36" t="s">
        <v>881</v>
      </c>
      <c r="R7" s="31" t="s">
        <v>28</v>
      </c>
      <c r="S7" s="25">
        <v>1560</v>
      </c>
      <c r="T7" s="36" t="s">
        <v>881</v>
      </c>
      <c r="U7" s="31" t="s">
        <v>757</v>
      </c>
    </row>
    <row r="8" spans="1:24" ht="12.6" customHeight="1">
      <c r="A8" s="213" t="s">
        <v>38</v>
      </c>
      <c r="B8" s="182" t="s">
        <v>909</v>
      </c>
      <c r="C8" s="141">
        <v>15</v>
      </c>
      <c r="D8" s="142">
        <v>2.8</v>
      </c>
      <c r="E8" s="186">
        <f t="shared" si="0"/>
        <v>24</v>
      </c>
      <c r="F8" s="141" t="s">
        <v>39</v>
      </c>
      <c r="G8" s="215">
        <v>0.2</v>
      </c>
      <c r="H8" s="216">
        <v>0.33</v>
      </c>
      <c r="I8" s="141">
        <v>62.2</v>
      </c>
      <c r="J8" s="141">
        <v>73</v>
      </c>
      <c r="K8" s="142" t="s">
        <v>40</v>
      </c>
      <c r="L8" s="203">
        <f>AVERAGE(418,410,418,420,415,451,375,435,395,426)</f>
        <v>416.3</v>
      </c>
      <c r="M8" s="141" t="s">
        <v>1092</v>
      </c>
      <c r="N8" s="203">
        <f>AVERAGE(549,571,598,571,579,530,625,640,620,645)</f>
        <v>592.79999999999995</v>
      </c>
      <c r="O8" s="141" t="s">
        <v>1092</v>
      </c>
      <c r="P8" s="203">
        <v>650</v>
      </c>
      <c r="Q8" s="141" t="s">
        <v>881</v>
      </c>
      <c r="R8" s="186" t="s">
        <v>30</v>
      </c>
      <c r="S8" s="203">
        <v>730</v>
      </c>
      <c r="T8" s="141" t="s">
        <v>821</v>
      </c>
      <c r="U8" s="186" t="s">
        <v>30</v>
      </c>
    </row>
    <row r="9" spans="1:24" ht="12.6" customHeight="1">
      <c r="A9" s="213" t="s">
        <v>38</v>
      </c>
      <c r="B9" s="182" t="s">
        <v>922</v>
      </c>
      <c r="C9" s="141">
        <v>17</v>
      </c>
      <c r="D9" s="142">
        <v>4</v>
      </c>
      <c r="E9" s="186">
        <f t="shared" si="0"/>
        <v>27.200000000000003</v>
      </c>
      <c r="F9" s="141" t="s">
        <v>607</v>
      </c>
      <c r="G9" s="215">
        <v>0.25</v>
      </c>
      <c r="H9" s="216">
        <v>0.82</v>
      </c>
      <c r="I9" s="141">
        <v>106.7</v>
      </c>
      <c r="J9" s="141">
        <v>88.9</v>
      </c>
      <c r="K9" s="142" t="s">
        <v>31</v>
      </c>
      <c r="L9" s="203">
        <f>AVERAGE(1387,1532,1650,1500,1699,1475,1630,1600,1700,1520)</f>
        <v>1569.3</v>
      </c>
      <c r="M9" s="141" t="s">
        <v>1092</v>
      </c>
      <c r="N9" s="203">
        <f>AVERAGE(1625,1900,1795,1801,1745,1779,1750,1700,1999,1999,1815,1954)</f>
        <v>1821.8333333333333</v>
      </c>
      <c r="O9" s="141" t="s">
        <v>1092</v>
      </c>
      <c r="P9" s="203">
        <f>2000*CA.US</f>
        <v>1520</v>
      </c>
      <c r="Q9" s="141" t="s">
        <v>862</v>
      </c>
      <c r="R9" s="186" t="s">
        <v>856</v>
      </c>
      <c r="S9" s="203">
        <v>1900</v>
      </c>
      <c r="T9" s="141" t="s">
        <v>881</v>
      </c>
      <c r="U9" s="186" t="s">
        <v>32</v>
      </c>
    </row>
    <row r="10" spans="1:24" ht="12.6" customHeight="1">
      <c r="A10" s="205" t="s">
        <v>38</v>
      </c>
      <c r="B10" s="194" t="s">
        <v>923</v>
      </c>
      <c r="C10" s="172">
        <v>20</v>
      </c>
      <c r="D10" s="211">
        <v>2.8</v>
      </c>
      <c r="E10" s="188">
        <f t="shared" si="0"/>
        <v>32</v>
      </c>
      <c r="F10" s="172" t="s">
        <v>39</v>
      </c>
      <c r="G10" s="195">
        <v>0.25</v>
      </c>
      <c r="H10" s="176">
        <v>0.40500000000000003</v>
      </c>
      <c r="I10" s="172">
        <v>70.599999999999994</v>
      </c>
      <c r="J10" s="172">
        <v>77.5</v>
      </c>
      <c r="K10" s="211">
        <v>72</v>
      </c>
      <c r="L10" s="197">
        <f>AVERAGE(211,229,228,240,229,234,250,281,269,235)</f>
        <v>240.6</v>
      </c>
      <c r="M10" s="279" t="s">
        <v>1092</v>
      </c>
      <c r="N10" s="197">
        <f>AVERAGE(280,317,307,290,290,260,286,324,325,305,320)</f>
        <v>300.36363636363637</v>
      </c>
      <c r="O10" s="279" t="s">
        <v>1092</v>
      </c>
      <c r="P10" s="197">
        <v>370</v>
      </c>
      <c r="Q10" s="206" t="s">
        <v>881</v>
      </c>
      <c r="R10" s="188" t="s">
        <v>33</v>
      </c>
      <c r="S10" s="197">
        <v>490</v>
      </c>
      <c r="T10" s="206" t="s">
        <v>862</v>
      </c>
      <c r="U10" s="188" t="s">
        <v>30</v>
      </c>
    </row>
    <row r="11" spans="1:24" ht="12.6" customHeight="1">
      <c r="A11" s="213" t="s">
        <v>38</v>
      </c>
      <c r="B11" s="182" t="s">
        <v>924</v>
      </c>
      <c r="C11" s="141">
        <v>24</v>
      </c>
      <c r="D11" s="142">
        <v>1.4</v>
      </c>
      <c r="E11" s="186">
        <f t="shared" si="0"/>
        <v>38.400000000000006</v>
      </c>
      <c r="F11" s="141" t="s">
        <v>39</v>
      </c>
      <c r="G11" s="215">
        <v>0.25</v>
      </c>
      <c r="H11" s="216">
        <v>0.55000000000000004</v>
      </c>
      <c r="I11" s="141">
        <v>77.400000000000006</v>
      </c>
      <c r="J11" s="141">
        <v>83.5</v>
      </c>
      <c r="K11" s="142">
        <v>77</v>
      </c>
      <c r="L11" s="203">
        <f>AVERAGE(686,740,667,732,668,689,630,825,784,767)</f>
        <v>718.8</v>
      </c>
      <c r="M11" s="160" t="s">
        <v>1092</v>
      </c>
      <c r="N11" s="203">
        <f xml:space="preserve"> AVERAGE(925,1027,930,1157,998,1149,960,1059,900,975,932)</f>
        <v>1001.0909090909091</v>
      </c>
      <c r="O11" s="160" t="s">
        <v>837</v>
      </c>
      <c r="P11" s="203">
        <v>850</v>
      </c>
      <c r="Q11" s="160" t="s">
        <v>881</v>
      </c>
      <c r="R11" s="186" t="s">
        <v>28</v>
      </c>
      <c r="S11" s="203">
        <f>825*CA.US</f>
        <v>627</v>
      </c>
      <c r="T11" s="160" t="s">
        <v>862</v>
      </c>
      <c r="U11" s="186" t="s">
        <v>361</v>
      </c>
    </row>
    <row r="12" spans="1:24" ht="12.6" customHeight="1">
      <c r="A12" s="213" t="s">
        <v>38</v>
      </c>
      <c r="B12" s="182" t="s">
        <v>925</v>
      </c>
      <c r="C12" s="141">
        <v>24</v>
      </c>
      <c r="D12" s="142">
        <v>1.4</v>
      </c>
      <c r="E12" s="186">
        <f t="shared" si="0"/>
        <v>38.400000000000006</v>
      </c>
      <c r="F12" s="141" t="s">
        <v>39</v>
      </c>
      <c r="G12" s="215">
        <v>0.25</v>
      </c>
      <c r="H12" s="216">
        <v>0.65</v>
      </c>
      <c r="I12" s="141">
        <v>93.5</v>
      </c>
      <c r="J12" s="141">
        <v>86.9</v>
      </c>
      <c r="K12" s="142">
        <v>77</v>
      </c>
      <c r="L12" s="203">
        <f>AVERAGE(832,825,876,926,900,882,735,840,853,840,863)</f>
        <v>852</v>
      </c>
      <c r="M12" s="160" t="s">
        <v>1092</v>
      </c>
      <c r="N12" s="203">
        <f>AVERAGE(980,999,927,987,949,1049,1058,1024)</f>
        <v>996.625</v>
      </c>
      <c r="O12" s="160" t="s">
        <v>1092</v>
      </c>
      <c r="P12" s="203">
        <v>1120</v>
      </c>
      <c r="Q12" s="160" t="s">
        <v>881</v>
      </c>
      <c r="R12" s="186" t="s">
        <v>30</v>
      </c>
      <c r="S12" s="203">
        <v>995</v>
      </c>
      <c r="T12" s="160" t="s">
        <v>881</v>
      </c>
      <c r="U12" s="186" t="s">
        <v>28</v>
      </c>
      <c r="W12" s="18"/>
      <c r="X12" s="16"/>
    </row>
    <row r="13" spans="1:24" ht="12.6" customHeight="1">
      <c r="A13" s="213" t="s">
        <v>38</v>
      </c>
      <c r="B13" s="182" t="s">
        <v>949</v>
      </c>
      <c r="C13" s="141">
        <v>24</v>
      </c>
      <c r="D13" s="142">
        <v>2.8</v>
      </c>
      <c r="E13" s="186">
        <f t="shared" si="0"/>
        <v>38.400000000000006</v>
      </c>
      <c r="F13" s="141" t="s">
        <v>39</v>
      </c>
      <c r="G13" s="215">
        <v>0.25</v>
      </c>
      <c r="H13" s="216">
        <v>0.27</v>
      </c>
      <c r="I13" s="141">
        <v>48.5</v>
      </c>
      <c r="J13" s="141">
        <v>67.5</v>
      </c>
      <c r="K13" s="142">
        <v>58</v>
      </c>
      <c r="L13" s="203">
        <f>AVERAGE(128,132,137,134,160,131,128)</f>
        <v>135.71428571428572</v>
      </c>
      <c r="M13" s="160" t="s">
        <v>1008</v>
      </c>
      <c r="N13" s="203">
        <f>AVERAGE(228,220,198,199,205,245,195,250)</f>
        <v>217.5</v>
      </c>
      <c r="O13" s="160" t="s">
        <v>1092</v>
      </c>
      <c r="P13" s="203">
        <v>280</v>
      </c>
      <c r="Q13" s="160" t="s">
        <v>881</v>
      </c>
      <c r="R13" s="186" t="s">
        <v>30</v>
      </c>
      <c r="S13" s="203">
        <v>300</v>
      </c>
      <c r="T13" s="160" t="s">
        <v>881</v>
      </c>
      <c r="U13" s="186" t="s">
        <v>30</v>
      </c>
      <c r="W13" s="18"/>
      <c r="X13" s="37"/>
    </row>
    <row r="14" spans="1:24" ht="12.6" customHeight="1">
      <c r="A14" s="213" t="s">
        <v>38</v>
      </c>
      <c r="B14" s="182" t="s">
        <v>574</v>
      </c>
      <c r="C14" s="141">
        <v>24</v>
      </c>
      <c r="D14" s="142">
        <v>2.8</v>
      </c>
      <c r="E14" s="186">
        <f t="shared" si="0"/>
        <v>38.400000000000006</v>
      </c>
      <c r="F14" s="141" t="s">
        <v>39</v>
      </c>
      <c r="G14" s="215">
        <v>0.2</v>
      </c>
      <c r="H14" s="216">
        <v>0.28100000000000003</v>
      </c>
      <c r="I14" s="141">
        <v>55.6</v>
      </c>
      <c r="J14" s="141">
        <v>68.3</v>
      </c>
      <c r="K14" s="142">
        <v>58</v>
      </c>
      <c r="L14" s="203">
        <f>AVERAGE(322,375,375,400,353,375,354)</f>
        <v>364.85714285714283</v>
      </c>
      <c r="M14" s="160" t="s">
        <v>1092</v>
      </c>
      <c r="N14" s="203">
        <f>AVERAGE(400,429,398,400,425,499,500,435,420)</f>
        <v>434</v>
      </c>
      <c r="O14" s="160" t="s">
        <v>1008</v>
      </c>
      <c r="P14" s="203">
        <v>410</v>
      </c>
      <c r="Q14" s="160" t="s">
        <v>881</v>
      </c>
      <c r="R14" s="186" t="s">
        <v>757</v>
      </c>
      <c r="S14" s="203">
        <f>550*CA.US</f>
        <v>418</v>
      </c>
      <c r="T14" s="160" t="s">
        <v>1092</v>
      </c>
      <c r="U14" s="186" t="s">
        <v>1083</v>
      </c>
      <c r="W14" s="18"/>
      <c r="X14" s="37"/>
    </row>
    <row r="15" spans="1:24" ht="12.6" customHeight="1">
      <c r="A15" s="213" t="s">
        <v>38</v>
      </c>
      <c r="B15" s="182" t="s">
        <v>926</v>
      </c>
      <c r="C15" s="141">
        <v>24</v>
      </c>
      <c r="D15" s="142">
        <v>3.5</v>
      </c>
      <c r="E15" s="186">
        <f t="shared" si="0"/>
        <v>38.400000000000006</v>
      </c>
      <c r="F15" s="141" t="s">
        <v>607</v>
      </c>
      <c r="G15" s="215">
        <v>0.3</v>
      </c>
      <c r="H15" s="216">
        <v>0.56999999999999995</v>
      </c>
      <c r="I15" s="141">
        <v>86.7</v>
      </c>
      <c r="J15" s="141">
        <v>78</v>
      </c>
      <c r="K15" s="142">
        <v>72</v>
      </c>
      <c r="L15" s="203">
        <f>AVERAGE(617,599,625,588,660,652,649,654,645,648,550)</f>
        <v>626.09090909090912</v>
      </c>
      <c r="M15" s="160" t="s">
        <v>1092</v>
      </c>
      <c r="N15" s="203">
        <f>AVERAGE(950,819,832,750,819,920,820,875)</f>
        <v>848.125</v>
      </c>
      <c r="O15" s="160" t="s">
        <v>1008</v>
      </c>
      <c r="P15" s="203">
        <v>900</v>
      </c>
      <c r="Q15" s="160" t="s">
        <v>881</v>
      </c>
      <c r="R15" s="186" t="s">
        <v>32</v>
      </c>
      <c r="S15" s="203">
        <v>1050</v>
      </c>
      <c r="T15" s="160" t="s">
        <v>821</v>
      </c>
      <c r="U15" s="186" t="s">
        <v>33</v>
      </c>
      <c r="W15" s="16"/>
      <c r="X15" s="16"/>
    </row>
    <row r="16" spans="1:24" ht="12.6" customHeight="1">
      <c r="A16" s="205" t="s">
        <v>38</v>
      </c>
      <c r="B16" s="194" t="s">
        <v>910</v>
      </c>
      <c r="C16" s="172">
        <v>24</v>
      </c>
      <c r="D16" s="211">
        <v>3.5</v>
      </c>
      <c r="E16" s="188">
        <f t="shared" si="0"/>
        <v>38.400000000000006</v>
      </c>
      <c r="F16" s="172" t="s">
        <v>607</v>
      </c>
      <c r="G16" s="195">
        <v>0.21</v>
      </c>
      <c r="H16" s="176">
        <v>0.78</v>
      </c>
      <c r="I16" s="172">
        <v>106.9</v>
      </c>
      <c r="J16" s="172">
        <v>88.5</v>
      </c>
      <c r="K16" s="211">
        <v>82</v>
      </c>
      <c r="L16" s="197">
        <f>AVERAGE(1307,1100,1400,1353,1475,1249,1287,1200,1442,1419,1100)</f>
        <v>1302.909090909091</v>
      </c>
      <c r="M16" s="279" t="s">
        <v>1092</v>
      </c>
      <c r="N16" s="197">
        <f>AVERAGE(1600,1502,1629,1536,1599,1427,1700,1660,1651,1726)</f>
        <v>1603</v>
      </c>
      <c r="O16" s="279" t="s">
        <v>1092</v>
      </c>
      <c r="P16" s="197">
        <v>1440</v>
      </c>
      <c r="Q16" s="206" t="s">
        <v>881</v>
      </c>
      <c r="R16" s="188" t="s">
        <v>757</v>
      </c>
      <c r="S16" s="197">
        <v>1742</v>
      </c>
      <c r="T16" s="206" t="s">
        <v>881</v>
      </c>
      <c r="U16" s="188" t="s">
        <v>30</v>
      </c>
    </row>
    <row r="17" spans="1:24" ht="12.6" customHeight="1">
      <c r="A17" s="213" t="s">
        <v>38</v>
      </c>
      <c r="B17" s="182" t="s">
        <v>927</v>
      </c>
      <c r="C17" s="141">
        <v>28</v>
      </c>
      <c r="D17" s="142">
        <v>1.8</v>
      </c>
      <c r="E17" s="186">
        <f t="shared" si="0"/>
        <v>44.800000000000004</v>
      </c>
      <c r="F17" s="141" t="s">
        <v>39</v>
      </c>
      <c r="G17" s="215">
        <v>0.25</v>
      </c>
      <c r="H17" s="216">
        <v>0.31</v>
      </c>
      <c r="I17" s="141">
        <v>55.6</v>
      </c>
      <c r="J17" s="141">
        <v>73.599999999999994</v>
      </c>
      <c r="K17" s="142">
        <v>58</v>
      </c>
      <c r="L17" s="203">
        <f>AVERAGE(236,250,169,269,225,258,285,262)</f>
        <v>244.25</v>
      </c>
      <c r="M17" s="160" t="s">
        <v>1092</v>
      </c>
      <c r="N17" s="203">
        <f>AVERAGE(300,305,336,330,387,316,349)</f>
        <v>331.85714285714283</v>
      </c>
      <c r="O17" s="160" t="s">
        <v>1092</v>
      </c>
      <c r="P17" s="203">
        <v>390</v>
      </c>
      <c r="Q17" s="160" t="s">
        <v>881</v>
      </c>
      <c r="R17" s="186" t="s">
        <v>33</v>
      </c>
      <c r="S17" s="203">
        <v>390</v>
      </c>
      <c r="T17" s="160" t="s">
        <v>881</v>
      </c>
      <c r="U17" s="186" t="s">
        <v>33</v>
      </c>
    </row>
    <row r="18" spans="1:24" ht="12.6" customHeight="1">
      <c r="A18" s="213" t="s">
        <v>38</v>
      </c>
      <c r="B18" s="182" t="s">
        <v>950</v>
      </c>
      <c r="C18" s="141">
        <v>28</v>
      </c>
      <c r="D18" s="142">
        <v>2.8</v>
      </c>
      <c r="E18" s="186">
        <f t="shared" si="0"/>
        <v>44.800000000000004</v>
      </c>
      <c r="F18" s="141" t="s">
        <v>39</v>
      </c>
      <c r="G18" s="215">
        <v>0.3</v>
      </c>
      <c r="H18" s="216">
        <v>0.185</v>
      </c>
      <c r="I18" s="141">
        <v>42.5</v>
      </c>
      <c r="J18" s="141">
        <v>67.400000000000006</v>
      </c>
      <c r="K18" s="142">
        <v>52</v>
      </c>
      <c r="L18" s="203">
        <f>AVERAGE(119,115,103,100,120)</f>
        <v>111.4</v>
      </c>
      <c r="M18" s="280" t="s">
        <v>1092</v>
      </c>
      <c r="N18" s="203">
        <f>AVERAGE(150,162,140,164,123,150,193,175,167,183)</f>
        <v>160.69999999999999</v>
      </c>
      <c r="O18" s="160" t="s">
        <v>1092</v>
      </c>
      <c r="P18" s="203">
        <f>199*CA.US</f>
        <v>151.24</v>
      </c>
      <c r="Q18" s="160" t="s">
        <v>881</v>
      </c>
      <c r="R18" s="186" t="s">
        <v>623</v>
      </c>
      <c r="S18" s="203">
        <v>145</v>
      </c>
      <c r="T18" s="160" t="s">
        <v>881</v>
      </c>
      <c r="U18" s="186" t="s">
        <v>28</v>
      </c>
    </row>
    <row r="19" spans="1:24" ht="12.6" customHeight="1">
      <c r="A19" s="213" t="s">
        <v>38</v>
      </c>
      <c r="B19" s="182" t="s">
        <v>575</v>
      </c>
      <c r="C19" s="141">
        <v>28</v>
      </c>
      <c r="D19" s="142">
        <v>2.8</v>
      </c>
      <c r="E19" s="186">
        <f t="shared" si="0"/>
        <v>44.800000000000004</v>
      </c>
      <c r="F19" s="141" t="s">
        <v>39</v>
      </c>
      <c r="G19" s="215">
        <v>0.23</v>
      </c>
      <c r="H19" s="216">
        <v>0.26100000000000001</v>
      </c>
      <c r="I19" s="141">
        <v>51.3</v>
      </c>
      <c r="J19" s="141">
        <v>68.3</v>
      </c>
      <c r="K19" s="142">
        <v>58</v>
      </c>
      <c r="L19" s="203">
        <f>AVERAGE(280,345,291,305,299,343,293,248,305)</f>
        <v>301</v>
      </c>
      <c r="M19" s="160" t="s">
        <v>1008</v>
      </c>
      <c r="N19" s="203">
        <f>AVERAGE(380,369,369,400,370,448,470,400,390,404)</f>
        <v>400</v>
      </c>
      <c r="O19" s="160" t="s">
        <v>1092</v>
      </c>
      <c r="P19" s="203">
        <v>340</v>
      </c>
      <c r="Q19" s="160" t="s">
        <v>881</v>
      </c>
      <c r="R19" s="186" t="s">
        <v>757</v>
      </c>
      <c r="S19" s="203">
        <v>425</v>
      </c>
      <c r="T19" s="160" t="s">
        <v>862</v>
      </c>
      <c r="U19" s="186" t="s">
        <v>28</v>
      </c>
      <c r="W19" s="18"/>
      <c r="X19" s="37"/>
    </row>
    <row r="20" spans="1:24" ht="12.6" customHeight="1">
      <c r="A20" s="213" t="s">
        <v>38</v>
      </c>
      <c r="B20" s="182" t="s">
        <v>928</v>
      </c>
      <c r="C20" s="141">
        <v>35</v>
      </c>
      <c r="D20" s="142">
        <v>1.4</v>
      </c>
      <c r="E20" s="186">
        <f t="shared" ref="E20" si="1">1.6*C20</f>
        <v>56</v>
      </c>
      <c r="F20" s="141" t="s">
        <v>39</v>
      </c>
      <c r="G20" s="215">
        <v>0.3</v>
      </c>
      <c r="H20" s="216">
        <v>0.57999999999999996</v>
      </c>
      <c r="I20" s="141">
        <v>86</v>
      </c>
      <c r="J20" s="141">
        <v>79</v>
      </c>
      <c r="K20" s="142">
        <v>72</v>
      </c>
      <c r="L20" s="203">
        <f>AVERAGE(693,746,699,700,718,704,702,705,730,702,700,690)</f>
        <v>707.41666666666663</v>
      </c>
      <c r="M20" s="280" t="s">
        <v>1092</v>
      </c>
      <c r="N20" s="203">
        <f>AVERAGE(837,943,909,950,900,1000,1000,900,999)</f>
        <v>937.55555555555554</v>
      </c>
      <c r="O20" s="160" t="s">
        <v>1092</v>
      </c>
      <c r="P20" s="203">
        <v>900</v>
      </c>
      <c r="Q20" s="160" t="s">
        <v>881</v>
      </c>
      <c r="R20" s="186" t="s">
        <v>33</v>
      </c>
      <c r="S20" s="203">
        <v>1000</v>
      </c>
      <c r="T20" s="160" t="s">
        <v>881</v>
      </c>
      <c r="U20" s="186" t="s">
        <v>30</v>
      </c>
    </row>
    <row r="21" spans="1:24" ht="12.6" customHeight="1">
      <c r="A21" s="213" t="s">
        <v>38</v>
      </c>
      <c r="B21" s="182" t="s">
        <v>929</v>
      </c>
      <c r="C21" s="141">
        <v>35</v>
      </c>
      <c r="D21" s="142">
        <v>1.4</v>
      </c>
      <c r="E21" s="186">
        <f t="shared" si="0"/>
        <v>56</v>
      </c>
      <c r="F21" s="141" t="s">
        <v>39</v>
      </c>
      <c r="G21" s="215">
        <v>0.28000000000000003</v>
      </c>
      <c r="H21" s="216">
        <v>0.76</v>
      </c>
      <c r="I21" s="141">
        <v>105.5</v>
      </c>
      <c r="J21" s="141">
        <v>80.400000000000006</v>
      </c>
      <c r="K21" s="142">
        <v>72</v>
      </c>
      <c r="L21" s="203" t="s">
        <v>16</v>
      </c>
      <c r="M21" s="280" t="s">
        <v>16</v>
      </c>
      <c r="N21" s="203">
        <f>AVERAGE(1650,1650)</f>
        <v>1650</v>
      </c>
      <c r="O21" s="160" t="s">
        <v>1092</v>
      </c>
      <c r="P21" s="203" t="s">
        <v>16</v>
      </c>
      <c r="Q21" s="160" t="s">
        <v>16</v>
      </c>
      <c r="R21" s="186" t="s">
        <v>16</v>
      </c>
      <c r="S21" s="281">
        <v>1800</v>
      </c>
      <c r="T21" s="160" t="s">
        <v>847</v>
      </c>
      <c r="U21" s="186" t="s">
        <v>32</v>
      </c>
    </row>
    <row r="22" spans="1:24" ht="12.6" customHeight="1">
      <c r="A22" s="213" t="s">
        <v>38</v>
      </c>
      <c r="B22" s="182" t="s">
        <v>278</v>
      </c>
      <c r="C22" s="141">
        <v>35</v>
      </c>
      <c r="D22" s="142">
        <v>2</v>
      </c>
      <c r="E22" s="186">
        <f t="shared" ref="E22" si="2">1.6*C22</f>
        <v>56</v>
      </c>
      <c r="F22" s="141" t="s">
        <v>39</v>
      </c>
      <c r="G22" s="215">
        <v>0.25</v>
      </c>
      <c r="H22" s="216">
        <v>0.21</v>
      </c>
      <c r="I22" s="141">
        <v>42.5</v>
      </c>
      <c r="J22" s="141">
        <v>67.400000000000006</v>
      </c>
      <c r="K22" s="142">
        <v>52</v>
      </c>
      <c r="L22" s="203">
        <f>AVERAGE(160,152,153,194,203,200,174,145,173)</f>
        <v>172.66666666666666</v>
      </c>
      <c r="M22" s="280" t="s">
        <v>1092</v>
      </c>
      <c r="N22" s="203">
        <f>AVERAGE(246,239,223,243,293,275,260,230,265)</f>
        <v>252.66666666666666</v>
      </c>
      <c r="O22" s="160" t="s">
        <v>1092</v>
      </c>
      <c r="P22" s="203">
        <v>280</v>
      </c>
      <c r="Q22" s="160" t="s">
        <v>881</v>
      </c>
      <c r="R22" s="186" t="s">
        <v>30</v>
      </c>
      <c r="S22" s="203">
        <v>275</v>
      </c>
      <c r="T22" s="160" t="s">
        <v>862</v>
      </c>
      <c r="U22" s="186" t="s">
        <v>29</v>
      </c>
    </row>
    <row r="23" spans="1:24" ht="12.6" customHeight="1">
      <c r="A23" s="205" t="s">
        <v>38</v>
      </c>
      <c r="B23" s="194" t="s">
        <v>591</v>
      </c>
      <c r="C23" s="172">
        <v>35</v>
      </c>
      <c r="D23" s="211">
        <v>2</v>
      </c>
      <c r="E23" s="188">
        <f t="shared" si="0"/>
        <v>56</v>
      </c>
      <c r="F23" s="172" t="s">
        <v>39</v>
      </c>
      <c r="G23" s="195">
        <v>0.24</v>
      </c>
      <c r="H23" s="176">
        <v>0.33500000000000002</v>
      </c>
      <c r="I23" s="172">
        <v>63.5</v>
      </c>
      <c r="J23" s="172">
        <v>78.7</v>
      </c>
      <c r="K23" s="211">
        <v>67</v>
      </c>
      <c r="L23" s="197">
        <f>AVERAGE(400,400,420,350,411,415,450,450,303,405)</f>
        <v>400.4</v>
      </c>
      <c r="M23" s="279" t="s">
        <v>1092</v>
      </c>
      <c r="N23" s="197">
        <f>AVERAGE(483,500,470,495,487,499,488,475,454,479)</f>
        <v>483</v>
      </c>
      <c r="O23" s="279" t="s">
        <v>1092</v>
      </c>
      <c r="P23" s="197" t="s">
        <v>16</v>
      </c>
      <c r="Q23" s="206" t="s">
        <v>16</v>
      </c>
      <c r="R23" s="188" t="s">
        <v>16</v>
      </c>
      <c r="S23" s="197">
        <v>500</v>
      </c>
      <c r="T23" s="206" t="s">
        <v>881</v>
      </c>
      <c r="U23" s="188" t="s">
        <v>30</v>
      </c>
      <c r="W23" s="18"/>
    </row>
    <row r="24" spans="1:24" ht="12.6" customHeight="1">
      <c r="A24" s="213" t="s">
        <v>38</v>
      </c>
      <c r="B24" s="182" t="s">
        <v>576</v>
      </c>
      <c r="C24" s="141">
        <v>40</v>
      </c>
      <c r="D24" s="142">
        <v>2.8</v>
      </c>
      <c r="E24" s="186">
        <f t="shared" si="0"/>
        <v>64</v>
      </c>
      <c r="F24" s="141" t="s">
        <v>39</v>
      </c>
      <c r="G24" s="215">
        <v>0.3</v>
      </c>
      <c r="H24" s="216">
        <v>0.13</v>
      </c>
      <c r="I24" s="141">
        <v>22.9</v>
      </c>
      <c r="J24" s="141">
        <v>68.599999999999994</v>
      </c>
      <c r="K24" s="142">
        <v>52</v>
      </c>
      <c r="L24" s="203">
        <f>AVERAGE(103,80,87,80,105,106,103,106,104)</f>
        <v>97.111111111111114</v>
      </c>
      <c r="M24" s="160" t="s">
        <v>1092</v>
      </c>
      <c r="N24" s="203">
        <f>AVERAGE(123,115,108,100,100,109,95,97,123,118,127,110,123)</f>
        <v>111.38461538461539</v>
      </c>
      <c r="O24" s="160" t="s">
        <v>1092</v>
      </c>
      <c r="P24" s="203">
        <v>110</v>
      </c>
      <c r="Q24" s="160" t="s">
        <v>881</v>
      </c>
      <c r="R24" s="186" t="s">
        <v>30</v>
      </c>
      <c r="S24" s="203">
        <v>115</v>
      </c>
      <c r="T24" s="160" t="s">
        <v>881</v>
      </c>
      <c r="U24" s="186" t="s">
        <v>29</v>
      </c>
      <c r="W24" s="18"/>
      <c r="X24" s="37"/>
    </row>
    <row r="25" spans="1:24" ht="12.6" customHeight="1">
      <c r="A25" s="213" t="s">
        <v>38</v>
      </c>
      <c r="B25" s="182" t="s">
        <v>930</v>
      </c>
      <c r="C25" s="141">
        <v>45</v>
      </c>
      <c r="D25" s="142">
        <v>2.8</v>
      </c>
      <c r="E25" s="186">
        <f t="shared" si="0"/>
        <v>72</v>
      </c>
      <c r="F25" s="141" t="s">
        <v>607</v>
      </c>
      <c r="G25" s="215">
        <v>0.4</v>
      </c>
      <c r="H25" s="216">
        <v>0.64500000000000002</v>
      </c>
      <c r="I25" s="141">
        <v>90.1</v>
      </c>
      <c r="J25" s="141">
        <v>81</v>
      </c>
      <c r="K25" s="142">
        <v>72</v>
      </c>
      <c r="L25" s="203">
        <f>AVERAGE(700,877,761,747,750,808,730,805,781,722)</f>
        <v>768.1</v>
      </c>
      <c r="M25" s="280" t="s">
        <v>1008</v>
      </c>
      <c r="N25" s="203">
        <f>AVERAGE(826,950,850,899,960,937,1045,1081,945)</f>
        <v>943.66666666666663</v>
      </c>
      <c r="O25" s="160" t="s">
        <v>1092</v>
      </c>
      <c r="P25" s="203">
        <v>920</v>
      </c>
      <c r="Q25" s="160" t="s">
        <v>881</v>
      </c>
      <c r="R25" s="186" t="s">
        <v>30</v>
      </c>
      <c r="S25" s="203">
        <v>1080</v>
      </c>
      <c r="T25" s="160" t="s">
        <v>821</v>
      </c>
      <c r="U25" s="186" t="s">
        <v>30</v>
      </c>
    </row>
    <row r="26" spans="1:24" ht="12.6" customHeight="1">
      <c r="A26" s="213" t="s">
        <v>38</v>
      </c>
      <c r="B26" s="182" t="s">
        <v>931</v>
      </c>
      <c r="C26" s="141">
        <v>50</v>
      </c>
      <c r="D26" s="142">
        <v>1</v>
      </c>
      <c r="E26" s="186">
        <f t="shared" si="0"/>
        <v>80</v>
      </c>
      <c r="F26" s="141" t="s">
        <v>39</v>
      </c>
      <c r="G26" s="215">
        <v>0.6</v>
      </c>
      <c r="H26" s="216">
        <v>0.98499999999999999</v>
      </c>
      <c r="I26" s="141">
        <v>81.5</v>
      </c>
      <c r="J26" s="141">
        <v>91.5</v>
      </c>
      <c r="K26" s="142">
        <v>72</v>
      </c>
      <c r="L26" s="203">
        <f>AVERAGE(3600,3499,3480,3548,3000,3798,3200)</f>
        <v>3446.4285714285716</v>
      </c>
      <c r="M26" s="280" t="s">
        <v>1092</v>
      </c>
      <c r="N26" s="203">
        <f>AVERAGE(3998,4550,3998,4282,4399,4500,4500)</f>
        <v>4318.1428571428569</v>
      </c>
      <c r="O26" s="160" t="s">
        <v>1008</v>
      </c>
      <c r="P26" s="203">
        <v>3390</v>
      </c>
      <c r="Q26" s="160" t="s">
        <v>728</v>
      </c>
      <c r="R26" s="186" t="s">
        <v>30</v>
      </c>
      <c r="S26" s="203">
        <v>4200</v>
      </c>
      <c r="T26" s="160" t="s">
        <v>637</v>
      </c>
      <c r="U26" s="186" t="s">
        <v>378</v>
      </c>
    </row>
    <row r="27" spans="1:24" ht="12.6" customHeight="1">
      <c r="A27" s="213" t="s">
        <v>38</v>
      </c>
      <c r="B27" s="182" t="s">
        <v>169</v>
      </c>
      <c r="C27" s="141">
        <v>50</v>
      </c>
      <c r="D27" s="142">
        <v>1.2</v>
      </c>
      <c r="E27" s="186">
        <f t="shared" si="0"/>
        <v>80</v>
      </c>
      <c r="F27" s="141" t="s">
        <v>39</v>
      </c>
      <c r="G27" s="215">
        <v>0.45</v>
      </c>
      <c r="H27" s="216">
        <v>0.54500000000000004</v>
      </c>
      <c r="I27" s="141">
        <v>65</v>
      </c>
      <c r="J27" s="141">
        <v>85</v>
      </c>
      <c r="K27" s="142">
        <v>72</v>
      </c>
      <c r="L27" s="203">
        <f>AVERAGE(961,962,994,889,906,841,940,951,979)</f>
        <v>935.88888888888891</v>
      </c>
      <c r="M27" s="280" t="s">
        <v>1092</v>
      </c>
      <c r="N27" s="203">
        <f>AVERAGE(1135,1125,1070,1100,1150,1075,1099,1100,1179,1200)</f>
        <v>1123.3</v>
      </c>
      <c r="O27" s="160" t="s">
        <v>1092</v>
      </c>
      <c r="P27" s="203">
        <v>995</v>
      </c>
      <c r="Q27" s="160" t="s">
        <v>862</v>
      </c>
      <c r="R27" s="186" t="s">
        <v>29</v>
      </c>
      <c r="S27" s="203">
        <v>1075</v>
      </c>
      <c r="T27" s="160" t="s">
        <v>881</v>
      </c>
      <c r="U27" s="186" t="s">
        <v>28</v>
      </c>
    </row>
    <row r="28" spans="1:24" ht="12.6" customHeight="1">
      <c r="A28" s="213" t="s">
        <v>38</v>
      </c>
      <c r="B28" s="182" t="s">
        <v>932</v>
      </c>
      <c r="C28" s="141">
        <v>50</v>
      </c>
      <c r="D28" s="142">
        <v>1.4</v>
      </c>
      <c r="E28" s="186">
        <f t="shared" si="0"/>
        <v>80</v>
      </c>
      <c r="F28" s="141" t="s">
        <v>39</v>
      </c>
      <c r="G28" s="215">
        <v>0.45</v>
      </c>
      <c r="H28" s="216">
        <v>0.28999999999999998</v>
      </c>
      <c r="I28" s="141">
        <v>51</v>
      </c>
      <c r="J28" s="141">
        <v>73.8</v>
      </c>
      <c r="K28" s="142">
        <v>58</v>
      </c>
      <c r="L28" s="203">
        <f>AVERAGE(193,200,191,214,218,205,200,222,213)</f>
        <v>206.22222222222223</v>
      </c>
      <c r="M28" s="280" t="s">
        <v>1092</v>
      </c>
      <c r="N28" s="203">
        <f>AVERAGE(262,260,252,256,255,275,285,275,263,259,241)</f>
        <v>262.09090909090907</v>
      </c>
      <c r="O28" s="160" t="s">
        <v>1092</v>
      </c>
      <c r="P28" s="203">
        <f>289*CA.US</f>
        <v>219.64000000000001</v>
      </c>
      <c r="Q28" s="160" t="s">
        <v>1001</v>
      </c>
      <c r="R28" s="186" t="s">
        <v>623</v>
      </c>
      <c r="S28" s="203">
        <v>290</v>
      </c>
      <c r="T28" s="160" t="s">
        <v>881</v>
      </c>
      <c r="U28" s="186" t="s">
        <v>30</v>
      </c>
    </row>
    <row r="29" spans="1:24" ht="12.6" customHeight="1">
      <c r="A29" s="213" t="s">
        <v>38</v>
      </c>
      <c r="B29" s="182" t="s">
        <v>951</v>
      </c>
      <c r="C29" s="141">
        <v>50</v>
      </c>
      <c r="D29" s="142">
        <v>1.8</v>
      </c>
      <c r="E29" s="186">
        <f t="shared" si="0"/>
        <v>80</v>
      </c>
      <c r="F29" s="141" t="s">
        <v>39</v>
      </c>
      <c r="G29" s="215">
        <v>0.45</v>
      </c>
      <c r="H29" s="142">
        <v>0.19</v>
      </c>
      <c r="I29" s="141">
        <v>42.5</v>
      </c>
      <c r="J29" s="141">
        <v>67.400000000000006</v>
      </c>
      <c r="K29" s="142">
        <v>52</v>
      </c>
      <c r="L29" s="203">
        <f>AVERAGE(110,109,110,86,96,108,120,123,102,106,110)</f>
        <v>107.27272727272727</v>
      </c>
      <c r="M29" s="280" t="s">
        <v>1008</v>
      </c>
      <c r="N29" s="203">
        <f>AVERAGE(136,120,140,150,168,145,131,159,158,145)</f>
        <v>145.19999999999999</v>
      </c>
      <c r="O29" s="160" t="s">
        <v>1001</v>
      </c>
      <c r="P29" s="203">
        <f>145*CA.US</f>
        <v>110.2</v>
      </c>
      <c r="Q29" s="160" t="s">
        <v>862</v>
      </c>
      <c r="R29" s="186" t="s">
        <v>35</v>
      </c>
      <c r="S29" s="141">
        <v>185</v>
      </c>
      <c r="T29" s="160" t="s">
        <v>765</v>
      </c>
      <c r="U29" s="186" t="s">
        <v>33</v>
      </c>
    </row>
    <row r="30" spans="1:24" s="37" customFormat="1" ht="12.6" customHeight="1">
      <c r="A30" s="213" t="s">
        <v>38</v>
      </c>
      <c r="B30" s="182" t="s">
        <v>933</v>
      </c>
      <c r="C30" s="141">
        <v>50</v>
      </c>
      <c r="D30" s="142">
        <v>1.8</v>
      </c>
      <c r="E30" s="186">
        <f>1.6*C30</f>
        <v>80</v>
      </c>
      <c r="F30" s="141" t="s">
        <v>39</v>
      </c>
      <c r="G30" s="215">
        <v>0.45</v>
      </c>
      <c r="H30" s="216">
        <v>0.15</v>
      </c>
      <c r="I30" s="141">
        <v>41</v>
      </c>
      <c r="J30" s="141">
        <v>68.2</v>
      </c>
      <c r="K30" s="142">
        <v>52</v>
      </c>
      <c r="L30" s="203">
        <f>AVERAGE(84,81,66,61,63,66,76,65,74,74)</f>
        <v>71</v>
      </c>
      <c r="M30" s="160" t="s">
        <v>881</v>
      </c>
      <c r="N30" s="203">
        <f>AVERAGE(104,105,80,74,80,120,104,118,108,108)</f>
        <v>100.1</v>
      </c>
      <c r="O30" s="280" t="s">
        <v>1008</v>
      </c>
      <c r="P30" s="203">
        <v>80</v>
      </c>
      <c r="Q30" s="160" t="s">
        <v>881</v>
      </c>
      <c r="R30" s="186" t="s">
        <v>30</v>
      </c>
      <c r="S30" s="203">
        <v>90</v>
      </c>
      <c r="T30" s="160" t="s">
        <v>881</v>
      </c>
      <c r="U30" s="186" t="s">
        <v>512</v>
      </c>
      <c r="W30" s="18"/>
    </row>
    <row r="31" spans="1:24" s="37" customFormat="1" ht="12.6" customHeight="1">
      <c r="A31" s="213" t="s">
        <v>38</v>
      </c>
      <c r="B31" s="182" t="s">
        <v>911</v>
      </c>
      <c r="C31" s="141">
        <v>50</v>
      </c>
      <c r="D31" s="142">
        <v>1.8</v>
      </c>
      <c r="E31" s="186">
        <f>1.6*C31</f>
        <v>80</v>
      </c>
      <c r="F31" s="141" t="s">
        <v>39</v>
      </c>
      <c r="G31" s="215">
        <v>0.36</v>
      </c>
      <c r="H31" s="216">
        <v>0.16200000000000001</v>
      </c>
      <c r="I31" s="141">
        <v>40.6</v>
      </c>
      <c r="J31" s="141">
        <v>68.599999999999994</v>
      </c>
      <c r="K31" s="142">
        <v>49</v>
      </c>
      <c r="L31" s="203">
        <f>AVERAGE(92,94,99,92,105,103,100)</f>
        <v>97.857142857142861</v>
      </c>
      <c r="M31" s="160" t="s">
        <v>881</v>
      </c>
      <c r="N31" s="203">
        <f>AVERAGE(105,103,99,94,110,108,104)</f>
        <v>103.28571428571429</v>
      </c>
      <c r="O31" s="280" t="s">
        <v>1008</v>
      </c>
      <c r="P31" s="203">
        <f>AVERAGE(0)</f>
        <v>0</v>
      </c>
      <c r="Q31" s="160" t="s">
        <v>16</v>
      </c>
      <c r="R31" s="186" t="s">
        <v>16</v>
      </c>
      <c r="S31" s="281">
        <v>118</v>
      </c>
      <c r="T31" s="160" t="s">
        <v>862</v>
      </c>
      <c r="U31" s="186" t="s">
        <v>30</v>
      </c>
      <c r="W31" s="18"/>
    </row>
    <row r="32" spans="1:24" ht="12.6" customHeight="1">
      <c r="A32" s="213" t="s">
        <v>38</v>
      </c>
      <c r="B32" s="182" t="s">
        <v>934</v>
      </c>
      <c r="C32" s="141">
        <v>50</v>
      </c>
      <c r="D32" s="142">
        <v>2.5</v>
      </c>
      <c r="E32" s="186">
        <f t="shared" si="0"/>
        <v>80</v>
      </c>
      <c r="F32" s="141" t="s">
        <v>39</v>
      </c>
      <c r="G32" s="215">
        <v>0.23</v>
      </c>
      <c r="H32" s="216">
        <v>0.28000000000000003</v>
      </c>
      <c r="I32" s="141">
        <v>63</v>
      </c>
      <c r="J32" s="141">
        <v>67.599999999999994</v>
      </c>
      <c r="K32" s="142">
        <v>52</v>
      </c>
      <c r="L32" s="203">
        <f>AVERAGE(149,139,139,137,139,134,135,148,133,126,153)</f>
        <v>139.27272727272728</v>
      </c>
      <c r="M32" s="160" t="s">
        <v>1092</v>
      </c>
      <c r="N32" s="203">
        <f>AVERAGE(171,190,209,189,205,153,179,175,237,175,165)</f>
        <v>186.18181818181819</v>
      </c>
      <c r="O32" s="160" t="s">
        <v>1092</v>
      </c>
      <c r="P32" s="203">
        <v>185</v>
      </c>
      <c r="Q32" s="160" t="s">
        <v>881</v>
      </c>
      <c r="R32" s="186" t="s">
        <v>28</v>
      </c>
      <c r="S32" s="203">
        <v>205</v>
      </c>
      <c r="T32" s="160" t="s">
        <v>881</v>
      </c>
      <c r="U32" s="186" t="s">
        <v>512</v>
      </c>
    </row>
    <row r="33" spans="1:23" s="37" customFormat="1" ht="12.6" customHeight="1">
      <c r="A33" s="213" t="s">
        <v>38</v>
      </c>
      <c r="B33" s="182" t="s">
        <v>41</v>
      </c>
      <c r="C33" s="141" t="s">
        <v>31</v>
      </c>
      <c r="D33" s="142" t="s">
        <v>31</v>
      </c>
      <c r="E33" s="186" t="s">
        <v>31</v>
      </c>
      <c r="F33" s="141" t="s">
        <v>39</v>
      </c>
      <c r="G33" s="215" t="s">
        <v>31</v>
      </c>
      <c r="H33" s="216">
        <v>0.16</v>
      </c>
      <c r="I33" s="141">
        <v>34.9</v>
      </c>
      <c r="J33" s="141">
        <v>67.599999999999994</v>
      </c>
      <c r="K33" s="142" t="s">
        <v>31</v>
      </c>
      <c r="L33" s="203">
        <f>AVERAGE(118,115,115,105,108,120,120,100)</f>
        <v>112.625</v>
      </c>
      <c r="M33" s="160" t="s">
        <v>1001</v>
      </c>
      <c r="N33" s="203">
        <f>AVERAGE(158,120,150,115,150,148,168)</f>
        <v>144.14285714285714</v>
      </c>
      <c r="O33" s="160" t="s">
        <v>1001</v>
      </c>
      <c r="P33" s="203">
        <v>220</v>
      </c>
      <c r="Q33" s="160" t="s">
        <v>508</v>
      </c>
      <c r="R33" s="186" t="s">
        <v>30</v>
      </c>
      <c r="S33" s="203" t="s">
        <v>16</v>
      </c>
      <c r="T33" s="160" t="s">
        <v>16</v>
      </c>
      <c r="U33" s="186" t="s">
        <v>16</v>
      </c>
      <c r="W33" s="18"/>
    </row>
    <row r="34" spans="1:23" ht="12.6" customHeight="1">
      <c r="A34" s="205" t="s">
        <v>38</v>
      </c>
      <c r="B34" s="194" t="s">
        <v>42</v>
      </c>
      <c r="C34" s="172">
        <v>65</v>
      </c>
      <c r="D34" s="211">
        <v>2.8</v>
      </c>
      <c r="E34" s="188">
        <f t="shared" ref="E34:E69" si="3">1.6*C34</f>
        <v>104</v>
      </c>
      <c r="F34" s="172" t="s">
        <v>790</v>
      </c>
      <c r="G34" s="195">
        <v>0.24</v>
      </c>
      <c r="H34" s="176">
        <v>0.73</v>
      </c>
      <c r="I34" s="172">
        <v>98</v>
      </c>
      <c r="J34" s="172">
        <v>61</v>
      </c>
      <c r="K34" s="211">
        <v>58</v>
      </c>
      <c r="L34" s="197">
        <f>AVERAGE(600,624,613,622,698,700,700,670,743,610,612)</f>
        <v>653.81818181818187</v>
      </c>
      <c r="M34" s="279" t="s">
        <v>881</v>
      </c>
      <c r="N34" s="197">
        <f>AVERAGE(783,785,799,800,808,800,750,800,869,775,790,760)</f>
        <v>793.25</v>
      </c>
      <c r="O34" s="206" t="s">
        <v>1092</v>
      </c>
      <c r="P34" s="197">
        <f>900*CA.US</f>
        <v>684</v>
      </c>
      <c r="Q34" s="206" t="s">
        <v>862</v>
      </c>
      <c r="R34" s="188" t="s">
        <v>856</v>
      </c>
      <c r="S34" s="197">
        <v>850</v>
      </c>
      <c r="T34" s="206" t="s">
        <v>821</v>
      </c>
      <c r="U34" s="188" t="s">
        <v>30</v>
      </c>
    </row>
    <row r="35" spans="1:23" ht="12.6" customHeight="1">
      <c r="A35" s="213" t="s">
        <v>38</v>
      </c>
      <c r="B35" s="182" t="s">
        <v>935</v>
      </c>
      <c r="C35" s="141">
        <v>85</v>
      </c>
      <c r="D35" s="142">
        <v>1.2</v>
      </c>
      <c r="E35" s="186">
        <f t="shared" si="3"/>
        <v>136</v>
      </c>
      <c r="F35" s="141" t="s">
        <v>39</v>
      </c>
      <c r="G35" s="215">
        <v>0.95</v>
      </c>
      <c r="H35" s="216">
        <v>1.0249999999999999</v>
      </c>
      <c r="I35" s="141">
        <v>84</v>
      </c>
      <c r="J35" s="141">
        <v>91.5</v>
      </c>
      <c r="K35" s="142">
        <v>72</v>
      </c>
      <c r="L35" s="203">
        <f>AVERAGE(965,1030,910,1050,1075,1024,1150,1038,1174,1015)</f>
        <v>1043.0999999999999</v>
      </c>
      <c r="M35" s="280" t="s">
        <v>1092</v>
      </c>
      <c r="N35" s="203">
        <f>AVERAGE(1310,1200,1195,1285,1103,1449,1300,1325,1400,1300,1200,1199)</f>
        <v>1272.1666666666667</v>
      </c>
      <c r="O35" s="160" t="s">
        <v>1092</v>
      </c>
      <c r="P35" s="203">
        <v>1360</v>
      </c>
      <c r="Q35" s="160" t="s">
        <v>881</v>
      </c>
      <c r="R35" s="186" t="s">
        <v>30</v>
      </c>
      <c r="S35" s="203">
        <v>1195</v>
      </c>
      <c r="T35" s="160" t="s">
        <v>862</v>
      </c>
      <c r="U35" s="186" t="s">
        <v>29</v>
      </c>
    </row>
    <row r="36" spans="1:23" ht="12.6" customHeight="1">
      <c r="A36" s="213" t="s">
        <v>38</v>
      </c>
      <c r="B36" s="182" t="s">
        <v>936</v>
      </c>
      <c r="C36" s="141">
        <v>85</v>
      </c>
      <c r="D36" s="142">
        <v>1.2</v>
      </c>
      <c r="E36" s="186">
        <f t="shared" si="3"/>
        <v>136</v>
      </c>
      <c r="F36" s="141" t="s">
        <v>39</v>
      </c>
      <c r="G36" s="215">
        <v>0.95</v>
      </c>
      <c r="H36" s="216">
        <v>1.0249999999999999</v>
      </c>
      <c r="I36" s="141">
        <v>84</v>
      </c>
      <c r="J36" s="141">
        <v>91.5</v>
      </c>
      <c r="K36" s="142">
        <v>72</v>
      </c>
      <c r="L36" s="203">
        <f>AVERAGE(1245,1200,1350,1325,1300,1339,1324,1275,1302,1310)</f>
        <v>1297</v>
      </c>
      <c r="M36" s="160" t="s">
        <v>1092</v>
      </c>
      <c r="N36" s="203">
        <f>AVERAGE(1499,1543,1450,1429,1500,1500,1500,1525,1545)</f>
        <v>1499</v>
      </c>
      <c r="O36" s="280" t="s">
        <v>1092</v>
      </c>
      <c r="P36" s="203">
        <v>1640</v>
      </c>
      <c r="Q36" s="160" t="s">
        <v>881</v>
      </c>
      <c r="R36" s="186" t="s">
        <v>757</v>
      </c>
      <c r="S36" s="203">
        <v>1595</v>
      </c>
      <c r="T36" s="160" t="s">
        <v>881</v>
      </c>
      <c r="U36" s="186" t="s">
        <v>28</v>
      </c>
    </row>
    <row r="37" spans="1:23" ht="12.6" customHeight="1">
      <c r="A37" s="213" t="s">
        <v>38</v>
      </c>
      <c r="B37" s="182" t="s">
        <v>825</v>
      </c>
      <c r="C37" s="141">
        <v>85</v>
      </c>
      <c r="D37" s="142">
        <v>1.8</v>
      </c>
      <c r="E37" s="186">
        <f t="shared" si="3"/>
        <v>136</v>
      </c>
      <c r="F37" s="141" t="s">
        <v>39</v>
      </c>
      <c r="G37" s="215">
        <v>0.85</v>
      </c>
      <c r="H37" s="216">
        <v>0.42499999999999999</v>
      </c>
      <c r="I37" s="141">
        <v>71.5</v>
      </c>
      <c r="J37" s="141">
        <v>75</v>
      </c>
      <c r="K37" s="142">
        <v>58</v>
      </c>
      <c r="L37" s="203">
        <f>AVERAGE(236,276,251,262,270,263,265,250)</f>
        <v>259.125</v>
      </c>
      <c r="M37" s="160" t="s">
        <v>1092</v>
      </c>
      <c r="N37" s="203">
        <f>AVERAGE(311,305,300,334,305,306,290,275,280,325,286,310)</f>
        <v>302.25</v>
      </c>
      <c r="O37" s="160" t="s">
        <v>1092</v>
      </c>
      <c r="P37" s="203">
        <v>280</v>
      </c>
      <c r="Q37" s="160" t="s">
        <v>862</v>
      </c>
      <c r="R37" s="186" t="s">
        <v>33</v>
      </c>
      <c r="S37" s="203">
        <v>328</v>
      </c>
      <c r="T37" s="160" t="s">
        <v>881</v>
      </c>
      <c r="U37" s="186" t="s">
        <v>30</v>
      </c>
    </row>
    <row r="38" spans="1:23" ht="12.6" customHeight="1">
      <c r="A38" s="213" t="s">
        <v>38</v>
      </c>
      <c r="B38" s="182" t="s">
        <v>937</v>
      </c>
      <c r="C38" s="141">
        <v>90</v>
      </c>
      <c r="D38" s="142">
        <v>2.8</v>
      </c>
      <c r="E38" s="186">
        <f t="shared" si="3"/>
        <v>144</v>
      </c>
      <c r="F38" s="141" t="s">
        <v>607</v>
      </c>
      <c r="G38" s="215">
        <v>0.4</v>
      </c>
      <c r="H38" s="216">
        <v>0.56499999999999995</v>
      </c>
      <c r="I38" s="141">
        <v>88</v>
      </c>
      <c r="J38" s="141">
        <v>73.599999999999994</v>
      </c>
      <c r="K38" s="142">
        <v>58</v>
      </c>
      <c r="L38" s="203">
        <f>AVERAGE(701,790,760,715,666,699,722,650,670,689,715,610)</f>
        <v>698.91666666666663</v>
      </c>
      <c r="M38" s="280" t="s">
        <v>1092</v>
      </c>
      <c r="N38" s="203">
        <f>AVERAGE(932,849,932,879,986,910,885,887)</f>
        <v>907.5</v>
      </c>
      <c r="O38" s="160" t="s">
        <v>1092</v>
      </c>
      <c r="P38" s="203">
        <v>980</v>
      </c>
      <c r="Q38" s="160" t="s">
        <v>881</v>
      </c>
      <c r="R38" s="186" t="s">
        <v>32</v>
      </c>
      <c r="S38" s="203">
        <f>1295*CA.US</f>
        <v>984.2</v>
      </c>
      <c r="T38" s="160" t="s">
        <v>1092</v>
      </c>
      <c r="U38" s="186" t="s">
        <v>1083</v>
      </c>
    </row>
    <row r="39" spans="1:23" ht="12.6" customHeight="1">
      <c r="A39" s="213" t="s">
        <v>38</v>
      </c>
      <c r="B39" s="182" t="s">
        <v>938</v>
      </c>
      <c r="C39" s="141">
        <v>100</v>
      </c>
      <c r="D39" s="142">
        <v>2</v>
      </c>
      <c r="E39" s="186">
        <f t="shared" si="3"/>
        <v>160</v>
      </c>
      <c r="F39" s="141" t="s">
        <v>39</v>
      </c>
      <c r="G39" s="215">
        <v>0.9</v>
      </c>
      <c r="H39" s="216">
        <v>0.46</v>
      </c>
      <c r="I39" s="141">
        <v>73.5</v>
      </c>
      <c r="J39" s="141">
        <v>75</v>
      </c>
      <c r="K39" s="142">
        <v>58</v>
      </c>
      <c r="L39" s="203">
        <f>AVERAGE(249,257,260,261,250,300,276,255,273,260,249,279)</f>
        <v>264.08333333333331</v>
      </c>
      <c r="M39" s="160" t="s">
        <v>1092</v>
      </c>
      <c r="N39" s="203">
        <f>AVERAGE(310,329,309,284,306,309,340,355,345,353)</f>
        <v>324</v>
      </c>
      <c r="O39" s="160" t="s">
        <v>1092</v>
      </c>
      <c r="P39" s="203">
        <v>340</v>
      </c>
      <c r="Q39" s="160" t="s">
        <v>881</v>
      </c>
      <c r="R39" s="186" t="s">
        <v>757</v>
      </c>
      <c r="S39" s="203">
        <v>325</v>
      </c>
      <c r="T39" s="160" t="s">
        <v>881</v>
      </c>
      <c r="U39" s="186" t="s">
        <v>28</v>
      </c>
    </row>
    <row r="40" spans="1:23" ht="12.6" customHeight="1">
      <c r="A40" s="213" t="s">
        <v>38</v>
      </c>
      <c r="B40" s="182" t="s">
        <v>939</v>
      </c>
      <c r="C40" s="141">
        <v>100</v>
      </c>
      <c r="D40" s="142">
        <v>2.8</v>
      </c>
      <c r="E40" s="186">
        <f t="shared" si="3"/>
        <v>160</v>
      </c>
      <c r="F40" s="141" t="s">
        <v>39</v>
      </c>
      <c r="G40" s="215">
        <v>0.31</v>
      </c>
      <c r="H40" s="216">
        <v>0.6</v>
      </c>
      <c r="I40" s="141">
        <v>119</v>
      </c>
      <c r="J40" s="141">
        <v>79</v>
      </c>
      <c r="K40" s="142">
        <v>58</v>
      </c>
      <c r="L40" s="203">
        <f>AVERAGE(199,225,201,229,215,230,210,200,160,195,195,205)</f>
        <v>205.33333333333334</v>
      </c>
      <c r="M40" s="160" t="s">
        <v>1092</v>
      </c>
      <c r="N40" s="203">
        <f>AVERAGE(270,248,280,220,269,225,317,337,381)</f>
        <v>283</v>
      </c>
      <c r="O40" s="160" t="s">
        <v>1092</v>
      </c>
      <c r="P40" s="203">
        <v>367</v>
      </c>
      <c r="Q40" s="160" t="s">
        <v>881</v>
      </c>
      <c r="R40" s="186" t="s">
        <v>32</v>
      </c>
      <c r="S40" s="203">
        <v>395</v>
      </c>
      <c r="T40" s="160" t="s">
        <v>734</v>
      </c>
      <c r="U40" s="186" t="s">
        <v>29</v>
      </c>
    </row>
    <row r="41" spans="1:23" ht="12.6" customHeight="1">
      <c r="A41" s="213" t="s">
        <v>38</v>
      </c>
      <c r="B41" s="182" t="s">
        <v>912</v>
      </c>
      <c r="C41" s="141">
        <v>100</v>
      </c>
      <c r="D41" s="142">
        <v>2.8</v>
      </c>
      <c r="E41" s="186">
        <f t="shared" si="3"/>
        <v>160</v>
      </c>
      <c r="F41" s="141" t="s">
        <v>39</v>
      </c>
      <c r="G41" s="215">
        <v>0.31</v>
      </c>
      <c r="H41" s="216">
        <v>0.6</v>
      </c>
      <c r="I41" s="141">
        <v>119</v>
      </c>
      <c r="J41" s="141">
        <v>79</v>
      </c>
      <c r="K41" s="142">
        <v>58</v>
      </c>
      <c r="L41" s="203">
        <f>AVERAGE(267,279,298,235,276,271,255,243,299)</f>
        <v>269.22222222222223</v>
      </c>
      <c r="M41" s="280" t="s">
        <v>1092</v>
      </c>
      <c r="N41" s="203">
        <f>AVERAGE(346,353,315,330,365,376,325,317,297,337)</f>
        <v>336.1</v>
      </c>
      <c r="O41" s="160" t="s">
        <v>1092</v>
      </c>
      <c r="P41" s="203">
        <v>367</v>
      </c>
      <c r="Q41" s="160" t="s">
        <v>881</v>
      </c>
      <c r="R41" s="186" t="s">
        <v>30</v>
      </c>
      <c r="S41" s="203">
        <v>420</v>
      </c>
      <c r="T41" s="160" t="s">
        <v>881</v>
      </c>
      <c r="U41" s="186" t="s">
        <v>30</v>
      </c>
    </row>
    <row r="42" spans="1:23" ht="12.6" customHeight="1">
      <c r="A42" s="205" t="s">
        <v>38</v>
      </c>
      <c r="B42" s="194" t="s">
        <v>913</v>
      </c>
      <c r="C42" s="172">
        <v>100</v>
      </c>
      <c r="D42" s="211">
        <v>2.8</v>
      </c>
      <c r="E42" s="188">
        <f t="shared" si="3"/>
        <v>160</v>
      </c>
      <c r="F42" s="172" t="s">
        <v>39</v>
      </c>
      <c r="G42" s="195">
        <v>0.3</v>
      </c>
      <c r="H42" s="176">
        <v>0.625</v>
      </c>
      <c r="I42" s="172">
        <v>123</v>
      </c>
      <c r="J42" s="172">
        <v>77.7</v>
      </c>
      <c r="K42" s="211">
        <v>67</v>
      </c>
      <c r="L42" s="197">
        <f>AVERAGE(586,602,593,611,626,630,605,599,625,593)</f>
        <v>607</v>
      </c>
      <c r="M42" s="279" t="s">
        <v>1092</v>
      </c>
      <c r="N42" s="197">
        <f>AVERAGE(730,685,699,746,670,717,705,800,660,790,810)</f>
        <v>728.36363636363637</v>
      </c>
      <c r="O42" s="279" t="s">
        <v>1092</v>
      </c>
      <c r="P42" s="197">
        <f>849*CA.US</f>
        <v>645.24</v>
      </c>
      <c r="Q42" s="206" t="s">
        <v>1001</v>
      </c>
      <c r="R42" s="188" t="s">
        <v>623</v>
      </c>
      <c r="S42" s="197">
        <v>729</v>
      </c>
      <c r="T42" s="206" t="s">
        <v>881</v>
      </c>
      <c r="U42" s="188" t="s">
        <v>30</v>
      </c>
    </row>
    <row r="43" spans="1:23" ht="12.6" customHeight="1">
      <c r="A43" s="213" t="s">
        <v>38</v>
      </c>
      <c r="B43" s="182" t="s">
        <v>510</v>
      </c>
      <c r="C43" s="141">
        <v>135</v>
      </c>
      <c r="D43" s="142">
        <v>2</v>
      </c>
      <c r="E43" s="186">
        <f t="shared" si="3"/>
        <v>216</v>
      </c>
      <c r="F43" s="141" t="s">
        <v>39</v>
      </c>
      <c r="G43" s="215">
        <v>0.9</v>
      </c>
      <c r="H43" s="216">
        <v>0.75</v>
      </c>
      <c r="I43" s="141">
        <v>112</v>
      </c>
      <c r="J43" s="141">
        <v>82.5</v>
      </c>
      <c r="K43" s="142">
        <v>72</v>
      </c>
      <c r="L43" s="203">
        <f>AVERAGE(660,662,620,652,665,678,690,616,636,685,700)</f>
        <v>660.36363636363637</v>
      </c>
      <c r="M43" s="280" t="s">
        <v>1092</v>
      </c>
      <c r="N43" s="203">
        <f>AVERAGE(786,760,762,785,772,799,760,780,800,755)</f>
        <v>775.9</v>
      </c>
      <c r="O43" s="160" t="s">
        <v>1092</v>
      </c>
      <c r="P43" s="203">
        <v>822</v>
      </c>
      <c r="Q43" s="160" t="s">
        <v>821</v>
      </c>
      <c r="R43" s="186" t="s">
        <v>30</v>
      </c>
      <c r="S43" s="203">
        <v>825</v>
      </c>
      <c r="T43" s="160" t="s">
        <v>881</v>
      </c>
      <c r="U43" s="186" t="s">
        <v>29</v>
      </c>
    </row>
    <row r="44" spans="1:23" s="37" customFormat="1" ht="12.6" customHeight="1">
      <c r="A44" s="213" t="s">
        <v>38</v>
      </c>
      <c r="B44" s="182" t="s">
        <v>940</v>
      </c>
      <c r="C44" s="141">
        <v>135</v>
      </c>
      <c r="D44" s="142">
        <v>2.8</v>
      </c>
      <c r="E44" s="186">
        <f t="shared" si="3"/>
        <v>216</v>
      </c>
      <c r="F44" s="141" t="s">
        <v>39</v>
      </c>
      <c r="G44" s="215">
        <v>1.3</v>
      </c>
      <c r="H44" s="216">
        <v>0.39</v>
      </c>
      <c r="I44" s="141">
        <v>98.4</v>
      </c>
      <c r="J44" s="141">
        <v>69.2</v>
      </c>
      <c r="K44" s="142">
        <v>52</v>
      </c>
      <c r="L44" s="203">
        <f>AVERAGE(139,177,150,147,182,129,145,154,160,155)</f>
        <v>153.80000000000001</v>
      </c>
      <c r="M44" s="160" t="s">
        <v>1092</v>
      </c>
      <c r="N44" s="203">
        <f>AVERAGE(210,240,200,200,218,185,265,173,199,184,225,250)</f>
        <v>212.41666666666666</v>
      </c>
      <c r="O44" s="280" t="s">
        <v>1092</v>
      </c>
      <c r="P44" s="203">
        <v>248</v>
      </c>
      <c r="Q44" s="160" t="s">
        <v>765</v>
      </c>
      <c r="R44" s="186" t="s">
        <v>30</v>
      </c>
      <c r="S44" s="203">
        <v>300</v>
      </c>
      <c r="T44" s="160" t="s">
        <v>881</v>
      </c>
      <c r="U44" s="186" t="s">
        <v>30</v>
      </c>
      <c r="W44" s="18"/>
    </row>
    <row r="45" spans="1:23" ht="12.6" customHeight="1">
      <c r="A45" s="205" t="s">
        <v>38</v>
      </c>
      <c r="B45" s="194" t="s">
        <v>905</v>
      </c>
      <c r="C45" s="172">
        <v>180</v>
      </c>
      <c r="D45" s="211">
        <v>3.5</v>
      </c>
      <c r="E45" s="188">
        <f t="shared" si="3"/>
        <v>288</v>
      </c>
      <c r="F45" s="172" t="s">
        <v>39</v>
      </c>
      <c r="G45" s="195">
        <v>0.48</v>
      </c>
      <c r="H45" s="176">
        <v>1.0900000000000001</v>
      </c>
      <c r="I45" s="172">
        <v>186.6</v>
      </c>
      <c r="J45" s="172">
        <v>82.5</v>
      </c>
      <c r="K45" s="211">
        <v>72</v>
      </c>
      <c r="L45" s="197">
        <f>AVERAGE(807,726,830,792,800,740,851,766,730,758)</f>
        <v>780</v>
      </c>
      <c r="M45" s="172" t="s">
        <v>1092</v>
      </c>
      <c r="N45" s="197">
        <f>AVERAGE(1028,899,1050,1149,1095,1295,1050,1000)</f>
        <v>1070.75</v>
      </c>
      <c r="O45" s="172" t="s">
        <v>881</v>
      </c>
      <c r="P45" s="197">
        <v>1000</v>
      </c>
      <c r="Q45" s="206" t="s">
        <v>881</v>
      </c>
      <c r="R45" s="188" t="s">
        <v>32</v>
      </c>
      <c r="S45" s="197">
        <v>995</v>
      </c>
      <c r="T45" s="172" t="s">
        <v>881</v>
      </c>
      <c r="U45" s="188" t="s">
        <v>29</v>
      </c>
    </row>
    <row r="46" spans="1:23" ht="12.6" customHeight="1">
      <c r="A46" s="213" t="s">
        <v>38</v>
      </c>
      <c r="B46" s="182" t="s">
        <v>423</v>
      </c>
      <c r="C46" s="141">
        <v>200</v>
      </c>
      <c r="D46" s="142">
        <v>1.8</v>
      </c>
      <c r="E46" s="186">
        <f t="shared" si="3"/>
        <v>320</v>
      </c>
      <c r="F46" s="141" t="s">
        <v>39</v>
      </c>
      <c r="G46" s="215">
        <v>2.5</v>
      </c>
      <c r="H46" s="216">
        <v>3</v>
      </c>
      <c r="I46" s="141">
        <v>208</v>
      </c>
      <c r="J46" s="141">
        <v>129.5</v>
      </c>
      <c r="K46" s="142" t="s">
        <v>43</v>
      </c>
      <c r="L46" s="203">
        <f>AVERAGE(2818,2700,2425,3000,3306,3278)</f>
        <v>2921.1666666666665</v>
      </c>
      <c r="M46" s="160" t="s">
        <v>1092</v>
      </c>
      <c r="N46" s="203">
        <f>AVERAGE(3500,3500,4334,3798,3640,3798,3650,3700)</f>
        <v>3740</v>
      </c>
      <c r="O46" s="160" t="s">
        <v>1092</v>
      </c>
      <c r="P46" s="203">
        <v>3500</v>
      </c>
      <c r="Q46" s="160" t="s">
        <v>881</v>
      </c>
      <c r="R46" s="186" t="s">
        <v>32</v>
      </c>
      <c r="S46" s="203" t="s">
        <v>16</v>
      </c>
      <c r="T46" s="160" t="s">
        <v>16</v>
      </c>
      <c r="U46" s="186" t="s">
        <v>16</v>
      </c>
    </row>
    <row r="47" spans="1:23" ht="12.6" customHeight="1">
      <c r="A47" s="213" t="s">
        <v>38</v>
      </c>
      <c r="B47" s="182" t="s">
        <v>941</v>
      </c>
      <c r="C47" s="141">
        <v>200</v>
      </c>
      <c r="D47" s="142">
        <v>2</v>
      </c>
      <c r="E47" s="186">
        <f t="shared" si="3"/>
        <v>320</v>
      </c>
      <c r="F47" s="141" t="s">
        <v>39</v>
      </c>
      <c r="G47" s="215">
        <v>1.9</v>
      </c>
      <c r="H47" s="216">
        <v>2.5</v>
      </c>
      <c r="I47" s="141">
        <v>208</v>
      </c>
      <c r="J47" s="141">
        <v>128</v>
      </c>
      <c r="K47" s="142" t="s">
        <v>45</v>
      </c>
      <c r="L47" s="203">
        <f>AVERAGE(4100,4005,4550,4283,4050,4099,4075,4306,4352,3950)</f>
        <v>4177</v>
      </c>
      <c r="M47" s="160" t="s">
        <v>1092</v>
      </c>
      <c r="N47" s="203">
        <f>AVERAGE(4995,4655,4996,4599,4750,4167,4561,5089,4705)</f>
        <v>4724.1111111111113</v>
      </c>
      <c r="O47" s="160" t="s">
        <v>1092</v>
      </c>
      <c r="P47" s="203">
        <v>4600</v>
      </c>
      <c r="Q47" s="160" t="s">
        <v>821</v>
      </c>
      <c r="R47" s="186" t="s">
        <v>32</v>
      </c>
      <c r="S47" s="203">
        <v>4900</v>
      </c>
      <c r="T47" s="160" t="s">
        <v>821</v>
      </c>
      <c r="U47" s="186" t="s">
        <v>32</v>
      </c>
    </row>
    <row r="48" spans="1:23" ht="12.6" customHeight="1">
      <c r="A48" s="213" t="s">
        <v>38</v>
      </c>
      <c r="B48" s="182" t="s">
        <v>942</v>
      </c>
      <c r="C48" s="141">
        <v>200</v>
      </c>
      <c r="D48" s="142">
        <v>2.8</v>
      </c>
      <c r="E48" s="186">
        <f t="shared" si="3"/>
        <v>320</v>
      </c>
      <c r="F48" s="141" t="s">
        <v>39</v>
      </c>
      <c r="G48" s="215">
        <v>1.5</v>
      </c>
      <c r="H48" s="216">
        <v>0.79</v>
      </c>
      <c r="I48" s="141">
        <v>136.19999999999999</v>
      </c>
      <c r="J48" s="141">
        <v>83.2</v>
      </c>
      <c r="K48" s="142">
        <v>72</v>
      </c>
      <c r="L48" s="203">
        <f>AVERAGE(380,405,350,405,355,332,415,421,425,430,468,447)</f>
        <v>402.75</v>
      </c>
      <c r="M48" s="160" t="s">
        <v>1001</v>
      </c>
      <c r="N48" s="203">
        <f>AVERAGE(500,480,500,450,466,470,489,510,600,528)</f>
        <v>499.3</v>
      </c>
      <c r="O48" s="160" t="s">
        <v>1092</v>
      </c>
      <c r="P48" s="203">
        <f>499*CA.US</f>
        <v>379.24</v>
      </c>
      <c r="Q48" s="160" t="s">
        <v>821</v>
      </c>
      <c r="R48" s="186" t="s">
        <v>623</v>
      </c>
      <c r="S48" s="203">
        <v>600</v>
      </c>
      <c r="T48" s="160" t="s">
        <v>821</v>
      </c>
      <c r="U48" s="186" t="s">
        <v>30</v>
      </c>
    </row>
    <row r="49" spans="1:23" ht="12.6" customHeight="1">
      <c r="A49" s="205" t="s">
        <v>38</v>
      </c>
      <c r="B49" s="194" t="s">
        <v>44</v>
      </c>
      <c r="C49" s="172">
        <v>200</v>
      </c>
      <c r="D49" s="211">
        <v>2.8</v>
      </c>
      <c r="E49" s="188">
        <f t="shared" si="3"/>
        <v>320</v>
      </c>
      <c r="F49" s="172" t="s">
        <v>39</v>
      </c>
      <c r="G49" s="195">
        <v>1.5</v>
      </c>
      <c r="H49" s="176">
        <v>0.76500000000000001</v>
      </c>
      <c r="I49" s="172">
        <v>136.19999999999999</v>
      </c>
      <c r="J49" s="172">
        <v>83.2</v>
      </c>
      <c r="K49" s="211">
        <v>72</v>
      </c>
      <c r="L49" s="197">
        <f>AVERAGE(433,450,438,501,429,441,455,488,499,414)</f>
        <v>454.8</v>
      </c>
      <c r="M49" s="206" t="s">
        <v>1092</v>
      </c>
      <c r="N49" s="197">
        <f>AVERAGE(502,551,588,537,599,598,598,580,535,561)</f>
        <v>564.9</v>
      </c>
      <c r="O49" s="206" t="s">
        <v>1092</v>
      </c>
      <c r="P49" s="197">
        <f>700*CA.US</f>
        <v>532</v>
      </c>
      <c r="Q49" s="206" t="s">
        <v>1001</v>
      </c>
      <c r="R49" s="188" t="s">
        <v>361</v>
      </c>
      <c r="S49" s="197">
        <f>750*CA.US</f>
        <v>570</v>
      </c>
      <c r="T49" s="206" t="s">
        <v>1092</v>
      </c>
      <c r="U49" s="188" t="s">
        <v>1083</v>
      </c>
    </row>
    <row r="50" spans="1:23" ht="12.6" customHeight="1">
      <c r="A50" s="213" t="s">
        <v>38</v>
      </c>
      <c r="B50" s="182" t="s">
        <v>943</v>
      </c>
      <c r="C50" s="141">
        <v>300</v>
      </c>
      <c r="D50" s="142">
        <v>2.8</v>
      </c>
      <c r="E50" s="186">
        <f t="shared" si="3"/>
        <v>480</v>
      </c>
      <c r="F50" s="141" t="s">
        <v>39</v>
      </c>
      <c r="G50" s="215">
        <v>3</v>
      </c>
      <c r="H50" s="216">
        <v>2.855</v>
      </c>
      <c r="I50" s="141">
        <v>253</v>
      </c>
      <c r="J50" s="141">
        <v>125</v>
      </c>
      <c r="K50" s="142" t="s">
        <v>43</v>
      </c>
      <c r="L50" s="203">
        <f>AVERAGE(1599,1500,1738,1899,1838,1799,1750,1645,1689,1581)</f>
        <v>1703.8</v>
      </c>
      <c r="M50" s="160" t="s">
        <v>1092</v>
      </c>
      <c r="N50" s="203">
        <f>AVERAGE(2250,2299,2599,2350,2780,2799,2700)</f>
        <v>2539.5714285714284</v>
      </c>
      <c r="O50" s="160" t="s">
        <v>862</v>
      </c>
      <c r="P50" s="203">
        <v>2800</v>
      </c>
      <c r="Q50" s="160" t="s">
        <v>881</v>
      </c>
      <c r="R50" s="186" t="s">
        <v>30</v>
      </c>
      <c r="S50" s="203" t="s">
        <v>16</v>
      </c>
      <c r="T50" s="160" t="s">
        <v>16</v>
      </c>
      <c r="U50" s="186" t="s">
        <v>16</v>
      </c>
    </row>
    <row r="51" spans="1:23" ht="12.6" customHeight="1">
      <c r="A51" s="213" t="s">
        <v>38</v>
      </c>
      <c r="B51" s="182" t="s">
        <v>553</v>
      </c>
      <c r="C51" s="141">
        <v>300</v>
      </c>
      <c r="D51" s="142">
        <v>2.8</v>
      </c>
      <c r="E51" s="186">
        <f>1.6*C51</f>
        <v>480</v>
      </c>
      <c r="F51" s="141" t="s">
        <v>39</v>
      </c>
      <c r="G51" s="215">
        <v>2.5</v>
      </c>
      <c r="H51" s="216">
        <v>2.5499999999999998</v>
      </c>
      <c r="I51" s="141">
        <v>252</v>
      </c>
      <c r="J51" s="141">
        <v>128</v>
      </c>
      <c r="K51" s="142" t="s">
        <v>45</v>
      </c>
      <c r="L51" s="203">
        <f>AVERAGE(2683,2800,3148,3198,3038,2690,2980,2900)</f>
        <v>2929.625</v>
      </c>
      <c r="M51" s="141" t="s">
        <v>1092</v>
      </c>
      <c r="N51" s="203">
        <f>AVERAGE(3148,3999.3855,3999,3530,3800,4000,3899,3999,4199)</f>
        <v>3841.4872777777782</v>
      </c>
      <c r="O51" s="141" t="s">
        <v>881</v>
      </c>
      <c r="P51" s="203">
        <v>1995</v>
      </c>
      <c r="Q51" s="141" t="s">
        <v>881</v>
      </c>
      <c r="R51" s="186" t="s">
        <v>28</v>
      </c>
      <c r="S51" s="203">
        <f>4800*CA.US</f>
        <v>3648</v>
      </c>
      <c r="T51" s="141" t="s">
        <v>881</v>
      </c>
      <c r="U51" s="186" t="s">
        <v>361</v>
      </c>
      <c r="W51" s="18"/>
    </row>
    <row r="52" spans="1:23" ht="12.6" customHeight="1">
      <c r="A52" s="213" t="s">
        <v>38</v>
      </c>
      <c r="B52" s="182" t="s">
        <v>914</v>
      </c>
      <c r="C52" s="141">
        <v>300</v>
      </c>
      <c r="D52" s="142">
        <v>2.8</v>
      </c>
      <c r="E52" s="186">
        <f t="shared" si="3"/>
        <v>480</v>
      </c>
      <c r="F52" s="141" t="s">
        <v>39</v>
      </c>
      <c r="G52" s="215">
        <v>2</v>
      </c>
      <c r="H52" s="216">
        <v>2.35</v>
      </c>
      <c r="I52" s="141">
        <v>248</v>
      </c>
      <c r="J52" s="141">
        <v>128</v>
      </c>
      <c r="K52" s="142" t="s">
        <v>45</v>
      </c>
      <c r="L52" s="203">
        <f>AVERAGE(4775,4399,4600,4476,4912,4350,5100,5000,5400,4815,5205)</f>
        <v>4821.090909090909</v>
      </c>
      <c r="M52" s="160" t="s">
        <v>1092</v>
      </c>
      <c r="N52" s="203">
        <f>AVERAGE(4949,5726,6199,5901,5802,6399,5994)</f>
        <v>5852.8571428571431</v>
      </c>
      <c r="O52" s="160" t="s">
        <v>881</v>
      </c>
      <c r="P52" s="203">
        <v>5000</v>
      </c>
      <c r="Q52" s="160" t="s">
        <v>881</v>
      </c>
      <c r="R52" s="186" t="s">
        <v>757</v>
      </c>
      <c r="S52" s="203">
        <v>5800</v>
      </c>
      <c r="T52" s="160" t="s">
        <v>821</v>
      </c>
      <c r="U52" s="186" t="s">
        <v>30</v>
      </c>
      <c r="W52" s="18"/>
    </row>
    <row r="53" spans="1:23" ht="12.6" customHeight="1">
      <c r="A53" s="213" t="s">
        <v>38</v>
      </c>
      <c r="B53" s="182" t="s">
        <v>915</v>
      </c>
      <c r="C53" s="141">
        <v>300</v>
      </c>
      <c r="D53" s="142">
        <v>4</v>
      </c>
      <c r="E53" s="186">
        <f t="shared" si="3"/>
        <v>480</v>
      </c>
      <c r="F53" s="141" t="s">
        <v>39</v>
      </c>
      <c r="G53" s="215">
        <v>2.5</v>
      </c>
      <c r="H53" s="216">
        <v>1.165</v>
      </c>
      <c r="I53" s="141">
        <v>213.5</v>
      </c>
      <c r="J53" s="141">
        <v>90</v>
      </c>
      <c r="K53" s="142">
        <v>77</v>
      </c>
      <c r="L53" s="203">
        <f xml:space="preserve"> AVERAGE(490,489,520,480,495,550,590,415,545,538)</f>
        <v>511.2</v>
      </c>
      <c r="M53" s="160" t="s">
        <v>1092</v>
      </c>
      <c r="N53" s="203">
        <f>AVERAGE(550,610,617,650,675,719,778)</f>
        <v>657</v>
      </c>
      <c r="O53" s="160" t="s">
        <v>1001</v>
      </c>
      <c r="P53" s="203">
        <v>650</v>
      </c>
      <c r="Q53" s="160" t="s">
        <v>881</v>
      </c>
      <c r="R53" s="186" t="s">
        <v>30</v>
      </c>
      <c r="S53" s="203">
        <v>1080</v>
      </c>
      <c r="T53" s="160" t="s">
        <v>508</v>
      </c>
      <c r="U53" s="186" t="s">
        <v>30</v>
      </c>
    </row>
    <row r="54" spans="1:23" ht="12.6" customHeight="1">
      <c r="A54" s="205" t="s">
        <v>38</v>
      </c>
      <c r="B54" s="194" t="s">
        <v>424</v>
      </c>
      <c r="C54" s="172">
        <v>300</v>
      </c>
      <c r="D54" s="211">
        <v>4</v>
      </c>
      <c r="E54" s="188">
        <f t="shared" si="3"/>
        <v>480</v>
      </c>
      <c r="F54" s="172" t="s">
        <v>39</v>
      </c>
      <c r="G54" s="195">
        <v>1.5</v>
      </c>
      <c r="H54" s="176">
        <v>1.19</v>
      </c>
      <c r="I54" s="172">
        <v>221</v>
      </c>
      <c r="J54" s="172">
        <v>90</v>
      </c>
      <c r="K54" s="211">
        <v>77</v>
      </c>
      <c r="L54" s="197">
        <f>AVERAGE(635,630,660,699,639,734,661,662,647)</f>
        <v>663</v>
      </c>
      <c r="M54" s="279" t="s">
        <v>1092</v>
      </c>
      <c r="N54" s="197">
        <f>AVERAGE(846,890,860,945,846,900,827,800,817,899,865,990)</f>
        <v>873.75</v>
      </c>
      <c r="O54" s="206" t="s">
        <v>1092</v>
      </c>
      <c r="P54" s="197">
        <v>725</v>
      </c>
      <c r="Q54" s="206" t="s">
        <v>881</v>
      </c>
      <c r="R54" s="188" t="s">
        <v>33</v>
      </c>
      <c r="S54" s="197">
        <v>900</v>
      </c>
      <c r="T54" s="206" t="s">
        <v>881</v>
      </c>
      <c r="U54" s="188" t="s">
        <v>32</v>
      </c>
      <c r="W54" s="18"/>
    </row>
    <row r="55" spans="1:23" s="37" customFormat="1" ht="12.6" customHeight="1">
      <c r="A55" s="213" t="s">
        <v>38</v>
      </c>
      <c r="B55" s="182" t="s">
        <v>944</v>
      </c>
      <c r="C55" s="141">
        <v>400</v>
      </c>
      <c r="D55" s="142">
        <v>2.8</v>
      </c>
      <c r="E55" s="186">
        <f t="shared" si="3"/>
        <v>640</v>
      </c>
      <c r="F55" s="141" t="s">
        <v>39</v>
      </c>
      <c r="G55" s="215">
        <v>4</v>
      </c>
      <c r="H55" s="216">
        <v>6.1</v>
      </c>
      <c r="I55" s="141">
        <v>348</v>
      </c>
      <c r="J55" s="141">
        <v>167</v>
      </c>
      <c r="K55" s="142" t="s">
        <v>43</v>
      </c>
      <c r="L55" s="203">
        <f>AVERAGE(2305,2350,1647,1949)</f>
        <v>2062.75</v>
      </c>
      <c r="M55" s="141" t="s">
        <v>1092</v>
      </c>
      <c r="N55" s="203">
        <f>AVERAGE(3100,2950,2950,3600)</f>
        <v>3150</v>
      </c>
      <c r="O55" s="141" t="s">
        <v>1008</v>
      </c>
      <c r="P55" s="203">
        <v>3520</v>
      </c>
      <c r="Q55" s="141" t="s">
        <v>723</v>
      </c>
      <c r="R55" s="186" t="s">
        <v>30</v>
      </c>
      <c r="S55" s="203" t="s">
        <v>16</v>
      </c>
      <c r="T55" s="141" t="s">
        <v>16</v>
      </c>
      <c r="U55" s="186" t="s">
        <v>16</v>
      </c>
      <c r="W55" s="18"/>
    </row>
    <row r="56" spans="1:23" ht="12.6" customHeight="1">
      <c r="A56" s="213" t="s">
        <v>38</v>
      </c>
      <c r="B56" s="182" t="s">
        <v>46</v>
      </c>
      <c r="C56" s="141">
        <v>400</v>
      </c>
      <c r="D56" s="142">
        <v>2.8</v>
      </c>
      <c r="E56" s="186">
        <f t="shared" si="3"/>
        <v>640</v>
      </c>
      <c r="F56" s="141" t="s">
        <v>39</v>
      </c>
      <c r="G56" s="215">
        <v>4</v>
      </c>
      <c r="H56" s="216">
        <v>5.91</v>
      </c>
      <c r="I56" s="141">
        <v>348</v>
      </c>
      <c r="J56" s="141">
        <v>167</v>
      </c>
      <c r="K56" s="142" t="s">
        <v>43</v>
      </c>
      <c r="L56" s="203">
        <f>AVERAGE(2025,2850)</f>
        <v>2437.5</v>
      </c>
      <c r="M56" s="160" t="s">
        <v>881</v>
      </c>
      <c r="N56" s="203">
        <f>AVERAGE(3350,3899)</f>
        <v>3624.5</v>
      </c>
      <c r="O56" s="160" t="s">
        <v>881</v>
      </c>
      <c r="P56" s="203">
        <v>3800</v>
      </c>
      <c r="Q56" s="160" t="s">
        <v>765</v>
      </c>
      <c r="R56" s="204" t="s">
        <v>33</v>
      </c>
      <c r="S56" s="203">
        <v>4995</v>
      </c>
      <c r="T56" s="160" t="s">
        <v>862</v>
      </c>
      <c r="U56" s="204" t="s">
        <v>28</v>
      </c>
    </row>
    <row r="57" spans="1:23" ht="12.6" customHeight="1">
      <c r="A57" s="213" t="s">
        <v>38</v>
      </c>
      <c r="B57" s="182" t="s">
        <v>916</v>
      </c>
      <c r="C57" s="141">
        <v>400</v>
      </c>
      <c r="D57" s="142">
        <v>2.8</v>
      </c>
      <c r="E57" s="186">
        <f>1.6*C57</f>
        <v>640</v>
      </c>
      <c r="F57" s="141" t="s">
        <v>39</v>
      </c>
      <c r="G57" s="215">
        <v>3</v>
      </c>
      <c r="H57" s="216">
        <v>5.37</v>
      </c>
      <c r="I57" s="141">
        <v>349</v>
      </c>
      <c r="J57" s="141">
        <v>163</v>
      </c>
      <c r="K57" s="142" t="s">
        <v>45</v>
      </c>
      <c r="L57" s="203">
        <f>AVERAGE(3840,3999,3651,3995,3901,3600,4098,3984,5049,4799)</f>
        <v>4091.6</v>
      </c>
      <c r="M57" s="141" t="s">
        <v>1008</v>
      </c>
      <c r="N57" s="203">
        <f>AVERAGE(4499,4599,5300,5499,5509,5473,5310)</f>
        <v>5169.8571428571431</v>
      </c>
      <c r="O57" s="160" t="s">
        <v>1008</v>
      </c>
      <c r="P57" s="203">
        <v>4700</v>
      </c>
      <c r="Q57" s="160" t="s">
        <v>837</v>
      </c>
      <c r="R57" s="204" t="s">
        <v>28</v>
      </c>
      <c r="S57" s="203">
        <v>4895</v>
      </c>
      <c r="T57" s="160" t="s">
        <v>881</v>
      </c>
      <c r="U57" s="204" t="s">
        <v>28</v>
      </c>
      <c r="W57" s="18"/>
    </row>
    <row r="58" spans="1:23" ht="12.6" customHeight="1">
      <c r="A58" s="213" t="s">
        <v>38</v>
      </c>
      <c r="B58" s="182" t="s">
        <v>917</v>
      </c>
      <c r="C58" s="141">
        <v>400</v>
      </c>
      <c r="D58" s="142">
        <v>2.8</v>
      </c>
      <c r="E58" s="186">
        <f t="shared" si="3"/>
        <v>640</v>
      </c>
      <c r="F58" s="141" t="s">
        <v>39</v>
      </c>
      <c r="G58" s="215">
        <v>2.7</v>
      </c>
      <c r="H58" s="216">
        <v>3.85</v>
      </c>
      <c r="I58" s="141">
        <v>343</v>
      </c>
      <c r="J58" s="141">
        <v>163</v>
      </c>
      <c r="K58" s="142" t="s">
        <v>45</v>
      </c>
      <c r="L58" s="203">
        <f>AVERAGE(6600,6285,6601,6936,6055,7277,7887,7239)</f>
        <v>6860</v>
      </c>
      <c r="M58" s="160" t="s">
        <v>1092</v>
      </c>
      <c r="N58" s="203">
        <f>AVERAGE(7000,7651,8499,8701,8700)</f>
        <v>8110.2</v>
      </c>
      <c r="O58" s="160" t="s">
        <v>1092</v>
      </c>
      <c r="P58" s="203">
        <v>8120</v>
      </c>
      <c r="Q58" s="160" t="s">
        <v>881</v>
      </c>
      <c r="R58" s="204" t="s">
        <v>757</v>
      </c>
      <c r="S58" s="203">
        <v>8815</v>
      </c>
      <c r="T58" s="160" t="s">
        <v>821</v>
      </c>
      <c r="U58" s="204" t="s">
        <v>757</v>
      </c>
      <c r="W58" s="18"/>
    </row>
    <row r="59" spans="1:23" ht="12.6" customHeight="1">
      <c r="A59" s="213" t="s">
        <v>38</v>
      </c>
      <c r="B59" s="182" t="s">
        <v>551</v>
      </c>
      <c r="C59" s="141">
        <v>400</v>
      </c>
      <c r="D59" s="142">
        <v>4</v>
      </c>
      <c r="E59" s="186">
        <f t="shared" ref="E59" si="4">1.6*C59</f>
        <v>640</v>
      </c>
      <c r="F59" s="141" t="s">
        <v>39</v>
      </c>
      <c r="G59" s="215">
        <v>3.5</v>
      </c>
      <c r="H59" s="216">
        <v>1.94</v>
      </c>
      <c r="I59" s="141">
        <v>232.7</v>
      </c>
      <c r="J59" s="141">
        <v>128</v>
      </c>
      <c r="K59" s="142" t="s">
        <v>45</v>
      </c>
      <c r="L59" s="203">
        <f>AVERAGE(2498,2645,2491,2550,2595,2123,2270,2213,2598)</f>
        <v>2442.5555555555557</v>
      </c>
      <c r="M59" s="160" t="s">
        <v>1092</v>
      </c>
      <c r="N59" s="203">
        <f>AVERAGE(2698,3050,2689,3170,2648,2689,2748,2598,2844)</f>
        <v>2792.6666666666665</v>
      </c>
      <c r="O59" s="160" t="s">
        <v>1092</v>
      </c>
      <c r="P59" s="203">
        <v>1995</v>
      </c>
      <c r="Q59" s="160" t="s">
        <v>881</v>
      </c>
      <c r="R59" s="204" t="s">
        <v>28</v>
      </c>
      <c r="S59" s="203">
        <v>5250</v>
      </c>
      <c r="T59" s="160" t="s">
        <v>821</v>
      </c>
      <c r="U59" s="204" t="s">
        <v>757</v>
      </c>
      <c r="W59" s="18"/>
    </row>
    <row r="60" spans="1:23" ht="12.6" customHeight="1">
      <c r="A60" s="213" t="s">
        <v>38</v>
      </c>
      <c r="B60" s="182" t="s">
        <v>769</v>
      </c>
      <c r="C60" s="141">
        <v>400</v>
      </c>
      <c r="D60" s="142">
        <v>4</v>
      </c>
      <c r="E60" s="186">
        <f t="shared" si="3"/>
        <v>640</v>
      </c>
      <c r="F60" s="141" t="s">
        <v>39</v>
      </c>
      <c r="G60" s="215">
        <v>3.3</v>
      </c>
      <c r="H60" s="216">
        <v>2.1</v>
      </c>
      <c r="I60" s="141">
        <v>232.7</v>
      </c>
      <c r="J60" s="141">
        <v>128</v>
      </c>
      <c r="K60" s="142" t="s">
        <v>45</v>
      </c>
      <c r="L60" s="203">
        <f>AVERAGE(0)</f>
        <v>0</v>
      </c>
      <c r="M60" s="160" t="s">
        <v>16</v>
      </c>
      <c r="N60" s="281">
        <f>AVERAGE(6900,6900)</f>
        <v>6900</v>
      </c>
      <c r="O60" s="160" t="s">
        <v>813</v>
      </c>
      <c r="P60" s="203" t="s">
        <v>16</v>
      </c>
      <c r="Q60" s="160" t="s">
        <v>16</v>
      </c>
      <c r="R60" s="204" t="s">
        <v>16</v>
      </c>
      <c r="S60" s="281">
        <v>6900</v>
      </c>
      <c r="T60" s="160" t="s">
        <v>821</v>
      </c>
      <c r="U60" s="204" t="s">
        <v>32</v>
      </c>
      <c r="W60" s="18"/>
    </row>
    <row r="61" spans="1:23" ht="12.6" customHeight="1">
      <c r="A61" s="205" t="s">
        <v>38</v>
      </c>
      <c r="B61" s="194" t="s">
        <v>945</v>
      </c>
      <c r="C61" s="172">
        <v>400</v>
      </c>
      <c r="D61" s="211">
        <v>5.6</v>
      </c>
      <c r="E61" s="188">
        <f t="shared" si="3"/>
        <v>640</v>
      </c>
      <c r="F61" s="172" t="s">
        <v>39</v>
      </c>
      <c r="G61" s="195">
        <v>3.5</v>
      </c>
      <c r="H61" s="176">
        <v>1.25</v>
      </c>
      <c r="I61" s="172">
        <v>256.60000000000002</v>
      </c>
      <c r="J61" s="172">
        <v>90</v>
      </c>
      <c r="K61" s="211">
        <v>77</v>
      </c>
      <c r="L61" s="197">
        <f>AVERAGE(762,730,755,745,742,720,775,770,708,677,777)</f>
        <v>741.90909090909088</v>
      </c>
      <c r="M61" s="279" t="s">
        <v>1092</v>
      </c>
      <c r="N61" s="197">
        <f>AVERAGE(810,813,861,945,850,988,830)</f>
        <v>871</v>
      </c>
      <c r="O61" s="279" t="s">
        <v>1092</v>
      </c>
      <c r="P61" s="197">
        <v>900</v>
      </c>
      <c r="Q61" s="206" t="s">
        <v>881</v>
      </c>
      <c r="R61" s="188" t="s">
        <v>757</v>
      </c>
      <c r="S61" s="197">
        <v>1075</v>
      </c>
      <c r="T61" s="206" t="s">
        <v>881</v>
      </c>
      <c r="U61" s="188" t="s">
        <v>29</v>
      </c>
    </row>
    <row r="62" spans="1:23" ht="12.6" customHeight="1">
      <c r="A62" s="213" t="s">
        <v>38</v>
      </c>
      <c r="B62" s="182" t="s">
        <v>918</v>
      </c>
      <c r="C62" s="141">
        <v>500</v>
      </c>
      <c r="D62" s="142">
        <v>4</v>
      </c>
      <c r="E62" s="186">
        <f>1.6*C62</f>
        <v>800</v>
      </c>
      <c r="F62" s="141" t="s">
        <v>39</v>
      </c>
      <c r="G62" s="215">
        <v>4.5</v>
      </c>
      <c r="H62" s="216">
        <v>3.87</v>
      </c>
      <c r="I62" s="141">
        <v>387</v>
      </c>
      <c r="J62" s="141">
        <v>146</v>
      </c>
      <c r="K62" s="142" t="s">
        <v>45</v>
      </c>
      <c r="L62" s="203">
        <f>AVERAGE(4327,4100,4079,4350,4835,4949,5071,4925,4800)</f>
        <v>4604</v>
      </c>
      <c r="M62" s="160" t="s">
        <v>1008</v>
      </c>
      <c r="N62" s="203">
        <f>AVERAGE(5390,5430,4698,5100,4995,5769,5820,5769,5875,5500)</f>
        <v>5434.6</v>
      </c>
      <c r="O62" s="160" t="s">
        <v>1092</v>
      </c>
      <c r="P62" s="203">
        <v>5000</v>
      </c>
      <c r="Q62" s="160" t="s">
        <v>881</v>
      </c>
      <c r="R62" s="186" t="s">
        <v>32</v>
      </c>
      <c r="S62" s="203">
        <v>5300</v>
      </c>
      <c r="T62" s="160" t="s">
        <v>881</v>
      </c>
      <c r="U62" s="186" t="s">
        <v>32</v>
      </c>
      <c r="W62" s="18"/>
    </row>
    <row r="63" spans="1:23" ht="12.6" customHeight="1">
      <c r="A63" s="213" t="s">
        <v>38</v>
      </c>
      <c r="B63" s="182" t="s">
        <v>919</v>
      </c>
      <c r="C63" s="141">
        <v>500</v>
      </c>
      <c r="D63" s="142">
        <v>4</v>
      </c>
      <c r="E63" s="186">
        <f t="shared" si="3"/>
        <v>800</v>
      </c>
      <c r="F63" s="141" t="s">
        <v>39</v>
      </c>
      <c r="G63" s="215">
        <v>3.7</v>
      </c>
      <c r="H63" s="216">
        <v>3.19</v>
      </c>
      <c r="I63" s="141">
        <v>383</v>
      </c>
      <c r="J63" s="141">
        <v>146</v>
      </c>
      <c r="K63" s="142" t="s">
        <v>45</v>
      </c>
      <c r="L63" s="203">
        <f>AVERAGE(7900,7101)</f>
        <v>7500.5</v>
      </c>
      <c r="M63" s="160" t="s">
        <v>1092</v>
      </c>
      <c r="N63" s="281">
        <f>AVERAGE(10499,10247,10247,9631,9524,9999)</f>
        <v>10024.5</v>
      </c>
      <c r="O63" s="160" t="s">
        <v>765</v>
      </c>
      <c r="P63" s="203">
        <v>7690</v>
      </c>
      <c r="Q63" s="160" t="s">
        <v>821</v>
      </c>
      <c r="R63" s="186" t="s">
        <v>757</v>
      </c>
      <c r="S63" s="203">
        <v>7830</v>
      </c>
      <c r="T63" s="160" t="s">
        <v>821</v>
      </c>
      <c r="U63" s="186" t="s">
        <v>757</v>
      </c>
      <c r="W63" s="18"/>
    </row>
    <row r="64" spans="1:23" ht="12.6" customHeight="1">
      <c r="A64" s="205" t="s">
        <v>38</v>
      </c>
      <c r="B64" s="194" t="s">
        <v>946</v>
      </c>
      <c r="C64" s="172">
        <v>500</v>
      </c>
      <c r="D64" s="211">
        <v>4.5</v>
      </c>
      <c r="E64" s="188">
        <f t="shared" si="3"/>
        <v>800</v>
      </c>
      <c r="F64" s="172" t="s">
        <v>39</v>
      </c>
      <c r="G64" s="195">
        <v>5</v>
      </c>
      <c r="H64" s="176">
        <v>3</v>
      </c>
      <c r="I64" s="172">
        <v>390</v>
      </c>
      <c r="J64" s="172">
        <v>130</v>
      </c>
      <c r="K64" s="211" t="s">
        <v>43</v>
      </c>
      <c r="L64" s="197">
        <f>AVERAGE(2890,2898,2890,2706,2650,3086,3492,3049,2900,2660)</f>
        <v>2922.1</v>
      </c>
      <c r="M64" s="279" t="s">
        <v>821</v>
      </c>
      <c r="N64" s="197">
        <f>AVERAGE(3862,3495,3762,3672,3850,3910,3802,4000,3800,3899,3850)</f>
        <v>3809.2727272727275</v>
      </c>
      <c r="O64" s="206" t="s">
        <v>810</v>
      </c>
      <c r="P64" s="197">
        <v>2700</v>
      </c>
      <c r="Q64" s="206" t="s">
        <v>881</v>
      </c>
      <c r="R64" s="188" t="s">
        <v>30</v>
      </c>
      <c r="S64" s="197">
        <v>4460</v>
      </c>
      <c r="T64" s="206" t="s">
        <v>550</v>
      </c>
      <c r="U64" s="188" t="s">
        <v>30</v>
      </c>
    </row>
    <row r="65" spans="1:24" ht="12.6" customHeight="1">
      <c r="A65" s="213" t="s">
        <v>38</v>
      </c>
      <c r="B65" s="182" t="s">
        <v>947</v>
      </c>
      <c r="C65" s="141">
        <v>600</v>
      </c>
      <c r="D65" s="142">
        <v>4</v>
      </c>
      <c r="E65" s="186">
        <f t="shared" si="3"/>
        <v>960</v>
      </c>
      <c r="F65" s="141" t="s">
        <v>39</v>
      </c>
      <c r="G65" s="215">
        <v>6</v>
      </c>
      <c r="H65" s="216">
        <v>6</v>
      </c>
      <c r="I65" s="141">
        <v>456</v>
      </c>
      <c r="J65" s="141">
        <v>167</v>
      </c>
      <c r="K65" s="142" t="s">
        <v>43</v>
      </c>
      <c r="L65" s="203">
        <f>AVERAGE(2451,2200,2550)</f>
        <v>2400.3333333333335</v>
      </c>
      <c r="M65" s="141" t="s">
        <v>1092</v>
      </c>
      <c r="N65" s="203">
        <f>AVERAGE(3650,4684,4820,4210,5500,4295,4895,4400)</f>
        <v>4556.75</v>
      </c>
      <c r="O65" s="141" t="s">
        <v>1001</v>
      </c>
      <c r="P65" s="203">
        <v>4200</v>
      </c>
      <c r="Q65" s="141" t="s">
        <v>881</v>
      </c>
      <c r="R65" s="186" t="s">
        <v>32</v>
      </c>
      <c r="S65" s="203">
        <v>5295</v>
      </c>
      <c r="T65" s="141" t="s">
        <v>513</v>
      </c>
      <c r="U65" s="186" t="s">
        <v>512</v>
      </c>
    </row>
    <row r="66" spans="1:24" ht="12.6" customHeight="1">
      <c r="A66" s="213" t="s">
        <v>38</v>
      </c>
      <c r="B66" s="182" t="s">
        <v>906</v>
      </c>
      <c r="C66" s="141">
        <v>600</v>
      </c>
      <c r="D66" s="142">
        <v>4</v>
      </c>
      <c r="E66" s="186">
        <f>1.6*C66</f>
        <v>960</v>
      </c>
      <c r="F66" s="141" t="s">
        <v>39</v>
      </c>
      <c r="G66" s="215">
        <v>5.5</v>
      </c>
      <c r="H66" s="216">
        <v>5.36</v>
      </c>
      <c r="I66" s="141">
        <v>456</v>
      </c>
      <c r="J66" s="141">
        <v>168</v>
      </c>
      <c r="K66" s="142" t="s">
        <v>45</v>
      </c>
      <c r="L66" s="203">
        <f>AVERAGE(5910,5450,4255,620,5672,5126,5832,5700,5200)</f>
        <v>4862.7777777777774</v>
      </c>
      <c r="M66" s="141" t="s">
        <v>881</v>
      </c>
      <c r="N66" s="203">
        <f>AVERAGE(6200,5598,5848,5910,6370,6200,6440)</f>
        <v>6080.8571428571431</v>
      </c>
      <c r="O66" s="160" t="s">
        <v>1008</v>
      </c>
      <c r="P66" s="203">
        <v>5500</v>
      </c>
      <c r="Q66" s="141" t="s">
        <v>1092</v>
      </c>
      <c r="R66" s="186" t="s">
        <v>1034</v>
      </c>
      <c r="S66" s="203">
        <v>7800</v>
      </c>
      <c r="T66" s="141" t="s">
        <v>813</v>
      </c>
      <c r="U66" s="186" t="s">
        <v>32</v>
      </c>
      <c r="W66" s="18"/>
    </row>
    <row r="67" spans="1:24" ht="12.6" customHeight="1">
      <c r="A67" s="213" t="s">
        <v>38</v>
      </c>
      <c r="B67" s="182" t="s">
        <v>907</v>
      </c>
      <c r="C67" s="141">
        <v>600</v>
      </c>
      <c r="D67" s="142">
        <v>4</v>
      </c>
      <c r="E67" s="186">
        <f t="shared" si="3"/>
        <v>960</v>
      </c>
      <c r="F67" s="141" t="s">
        <v>39</v>
      </c>
      <c r="G67" s="215">
        <v>4.5</v>
      </c>
      <c r="H67" s="216">
        <v>3.92</v>
      </c>
      <c r="I67" s="141">
        <v>447</v>
      </c>
      <c r="J67" s="141">
        <v>168</v>
      </c>
      <c r="K67" s="142" t="s">
        <v>45</v>
      </c>
      <c r="L67" s="203">
        <f>AVERAGE(8607,11250,10900,9600)</f>
        <v>10089.25</v>
      </c>
      <c r="M67" s="141" t="s">
        <v>1092</v>
      </c>
      <c r="N67" s="281">
        <f>AVERAGE(12749)</f>
        <v>12749</v>
      </c>
      <c r="O67" s="141" t="s">
        <v>639</v>
      </c>
      <c r="P67" s="203" t="s">
        <v>16</v>
      </c>
      <c r="Q67" s="141" t="s">
        <v>16</v>
      </c>
      <c r="R67" s="186" t="s">
        <v>16</v>
      </c>
      <c r="S67" s="203">
        <v>10500</v>
      </c>
      <c r="T67" s="141" t="s">
        <v>821</v>
      </c>
      <c r="U67" s="186" t="s">
        <v>33</v>
      </c>
      <c r="W67" s="18"/>
    </row>
    <row r="68" spans="1:24" ht="12.6" customHeight="1">
      <c r="A68" s="213" t="s">
        <v>38</v>
      </c>
      <c r="B68" s="182" t="s">
        <v>908</v>
      </c>
      <c r="C68" s="141">
        <v>800</v>
      </c>
      <c r="D68" s="142">
        <v>5.6</v>
      </c>
      <c r="E68" s="186">
        <f t="shared" si="3"/>
        <v>1280</v>
      </c>
      <c r="F68" s="141" t="s">
        <v>39</v>
      </c>
      <c r="G68" s="215">
        <v>6</v>
      </c>
      <c r="H68" s="216">
        <v>4.5</v>
      </c>
      <c r="I68" s="141">
        <v>461</v>
      </c>
      <c r="J68" s="141">
        <v>162</v>
      </c>
      <c r="K68" s="142" t="s">
        <v>45</v>
      </c>
      <c r="L68" s="203">
        <f>AVERAGE(5300,6210,7700,8500,8600,6699,6699,6960)</f>
        <v>7083.5</v>
      </c>
      <c r="M68" s="280" t="s">
        <v>852</v>
      </c>
      <c r="N68" s="203">
        <f>AVERAGE(8510,8358,9235,10029,9810,10009,9399,9200,9499)</f>
        <v>9338.7777777777774</v>
      </c>
      <c r="O68" s="160" t="s">
        <v>1092</v>
      </c>
      <c r="P68" s="203">
        <v>8970</v>
      </c>
      <c r="Q68" s="160" t="s">
        <v>881</v>
      </c>
      <c r="R68" s="186" t="s">
        <v>757</v>
      </c>
      <c r="S68" s="203">
        <v>11000</v>
      </c>
      <c r="T68" s="160" t="s">
        <v>881</v>
      </c>
      <c r="U68" s="186" t="s">
        <v>32</v>
      </c>
      <c r="W68" s="18"/>
    </row>
    <row r="69" spans="1:24" ht="12.6" customHeight="1">
      <c r="A69" s="205" t="s">
        <v>38</v>
      </c>
      <c r="B69" s="194" t="s">
        <v>948</v>
      </c>
      <c r="C69" s="172">
        <v>1200</v>
      </c>
      <c r="D69" s="211">
        <v>5.6</v>
      </c>
      <c r="E69" s="188">
        <f t="shared" si="3"/>
        <v>1920</v>
      </c>
      <c r="F69" s="172" t="s">
        <v>39</v>
      </c>
      <c r="G69" s="195">
        <v>14</v>
      </c>
      <c r="H69" s="176">
        <v>16.5</v>
      </c>
      <c r="I69" s="172">
        <v>836</v>
      </c>
      <c r="J69" s="172">
        <v>228</v>
      </c>
      <c r="K69" s="211" t="s">
        <v>43</v>
      </c>
      <c r="L69" s="197">
        <f>AVERAGE(0)</f>
        <v>0</v>
      </c>
      <c r="M69" s="172" t="s">
        <v>16</v>
      </c>
      <c r="N69" s="197">
        <f>AVERAGE(0)</f>
        <v>0</v>
      </c>
      <c r="O69" s="172" t="s">
        <v>16</v>
      </c>
      <c r="P69" s="197" t="s">
        <v>820</v>
      </c>
      <c r="Q69" s="172" t="s">
        <v>821</v>
      </c>
      <c r="R69" s="188" t="s">
        <v>32</v>
      </c>
      <c r="S69" s="197" t="s">
        <v>869</v>
      </c>
      <c r="T69" s="172" t="s">
        <v>881</v>
      </c>
      <c r="U69" s="188" t="s">
        <v>32</v>
      </c>
    </row>
    <row r="70" spans="1:24" s="37" customFormat="1" ht="12.6" customHeight="1">
      <c r="A70" s="243" t="s">
        <v>791</v>
      </c>
      <c r="B70" s="244"/>
      <c r="C70" s="179" t="s">
        <v>16</v>
      </c>
      <c r="D70" s="245" t="s">
        <v>16</v>
      </c>
      <c r="E70" s="179" t="s">
        <v>16</v>
      </c>
      <c r="F70" s="246" t="s">
        <v>16</v>
      </c>
      <c r="G70" s="247" t="s">
        <v>16</v>
      </c>
      <c r="H70" s="248" t="s">
        <v>16</v>
      </c>
      <c r="I70" s="179" t="s">
        <v>16</v>
      </c>
      <c r="J70" s="179" t="s">
        <v>16</v>
      </c>
      <c r="K70" s="179" t="s">
        <v>16</v>
      </c>
      <c r="L70" s="179" t="s">
        <v>16</v>
      </c>
      <c r="M70" s="179" t="s">
        <v>16</v>
      </c>
      <c r="N70" s="179" t="s">
        <v>16</v>
      </c>
      <c r="O70" s="179" t="s">
        <v>16</v>
      </c>
      <c r="P70" s="179" t="s">
        <v>16</v>
      </c>
      <c r="Q70" s="179" t="s">
        <v>16</v>
      </c>
      <c r="R70" s="179" t="s">
        <v>16</v>
      </c>
      <c r="S70" s="179" t="s">
        <v>16</v>
      </c>
      <c r="T70" s="179" t="s">
        <v>16</v>
      </c>
      <c r="U70" s="179" t="s">
        <v>16</v>
      </c>
      <c r="W70" s="18"/>
    </row>
    <row r="71" spans="1:24" ht="12.6" customHeight="1">
      <c r="A71" s="213" t="s">
        <v>38</v>
      </c>
      <c r="B71" s="182" t="s">
        <v>778</v>
      </c>
      <c r="C71" s="141">
        <v>24</v>
      </c>
      <c r="D71" s="142">
        <v>2.8</v>
      </c>
      <c r="E71" s="186">
        <f>1.6*C71</f>
        <v>38.400000000000006</v>
      </c>
      <c r="F71" s="141" t="s">
        <v>83</v>
      </c>
      <c r="G71" s="215">
        <v>0.16</v>
      </c>
      <c r="H71" s="216">
        <v>0.125</v>
      </c>
      <c r="I71" s="141">
        <v>22.8</v>
      </c>
      <c r="J71" s="141">
        <v>68.2</v>
      </c>
      <c r="K71" s="142">
        <v>52</v>
      </c>
      <c r="L71" s="203">
        <f>AVERAGE(103,100,103,110,100,115,123,116,104,105,103)</f>
        <v>107.45454545454545</v>
      </c>
      <c r="M71" s="160" t="s">
        <v>1092</v>
      </c>
      <c r="N71" s="203">
        <f>AVERAGE(125,126,138,120,120,120,125,123,124,129,125)</f>
        <v>125</v>
      </c>
      <c r="O71" s="160" t="s">
        <v>1092</v>
      </c>
      <c r="P71" s="203">
        <f>140*CA.US</f>
        <v>106.4</v>
      </c>
      <c r="Q71" s="160" t="s">
        <v>881</v>
      </c>
      <c r="R71" s="186" t="s">
        <v>361</v>
      </c>
      <c r="S71" s="203">
        <v>115</v>
      </c>
      <c r="T71" s="160" t="s">
        <v>862</v>
      </c>
      <c r="U71" s="186" t="s">
        <v>30</v>
      </c>
      <c r="W71" s="18"/>
      <c r="X71" s="37"/>
    </row>
    <row r="72" spans="1:24" ht="12.6" customHeight="1">
      <c r="A72" s="213" t="s">
        <v>38</v>
      </c>
      <c r="B72" s="182" t="s">
        <v>792</v>
      </c>
      <c r="C72" s="141">
        <v>60</v>
      </c>
      <c r="D72" s="142">
        <v>2.8</v>
      </c>
      <c r="E72" s="186">
        <f>1.6*C72</f>
        <v>96</v>
      </c>
      <c r="F72" s="141" t="s">
        <v>83</v>
      </c>
      <c r="G72" s="215">
        <v>0.2</v>
      </c>
      <c r="H72" s="216">
        <v>0.33500000000000002</v>
      </c>
      <c r="I72" s="141">
        <v>73</v>
      </c>
      <c r="J72" s="141">
        <v>69.8</v>
      </c>
      <c r="K72" s="142">
        <v>52</v>
      </c>
      <c r="L72" s="203">
        <f>AVERAGE(209,191,245,233,222,239,265,208,206,200,258)</f>
        <v>225.09090909090909</v>
      </c>
      <c r="M72" s="160" t="s">
        <v>1092</v>
      </c>
      <c r="N72" s="203">
        <f>AVERAGE(287,339,290,275,296,285,306,280,293,275)</f>
        <v>292.60000000000002</v>
      </c>
      <c r="O72" s="160" t="s">
        <v>1092</v>
      </c>
      <c r="P72" s="203">
        <v>350</v>
      </c>
      <c r="Q72" s="160" t="s">
        <v>862</v>
      </c>
      <c r="R72" s="186" t="s">
        <v>33</v>
      </c>
      <c r="S72" s="203">
        <v>420</v>
      </c>
      <c r="T72" s="160" t="s">
        <v>881</v>
      </c>
      <c r="U72" s="186" t="s">
        <v>30</v>
      </c>
    </row>
    <row r="73" spans="1:24" s="37" customFormat="1" ht="12.6" customHeight="1">
      <c r="A73" s="243" t="s">
        <v>264</v>
      </c>
      <c r="B73" s="244"/>
      <c r="C73" s="179" t="s">
        <v>16</v>
      </c>
      <c r="D73" s="245" t="s">
        <v>16</v>
      </c>
      <c r="E73" s="179" t="s">
        <v>16</v>
      </c>
      <c r="F73" s="246" t="s">
        <v>16</v>
      </c>
      <c r="G73" s="247" t="s">
        <v>16</v>
      </c>
      <c r="H73" s="248" t="s">
        <v>16</v>
      </c>
      <c r="I73" s="179" t="s">
        <v>16</v>
      </c>
      <c r="J73" s="179" t="s">
        <v>16</v>
      </c>
      <c r="K73" s="179" t="s">
        <v>16</v>
      </c>
      <c r="L73" s="179" t="s">
        <v>16</v>
      </c>
      <c r="M73" s="179" t="s">
        <v>16</v>
      </c>
      <c r="N73" s="179" t="s">
        <v>16</v>
      </c>
      <c r="O73" s="179" t="s">
        <v>16</v>
      </c>
      <c r="P73" s="179" t="s">
        <v>16</v>
      </c>
      <c r="Q73" s="179" t="s">
        <v>16</v>
      </c>
      <c r="R73" s="179" t="s">
        <v>16</v>
      </c>
      <c r="S73" s="179" t="s">
        <v>16</v>
      </c>
      <c r="T73" s="179" t="s">
        <v>16</v>
      </c>
      <c r="U73" s="179" t="s">
        <v>16</v>
      </c>
      <c r="W73" s="18"/>
    </row>
    <row r="74" spans="1:24" ht="12.6" customHeight="1">
      <c r="A74" s="213" t="s">
        <v>38</v>
      </c>
      <c r="B74" s="182" t="s">
        <v>143</v>
      </c>
      <c r="C74" s="141" t="s">
        <v>265</v>
      </c>
      <c r="D74" s="183">
        <v>1.4</v>
      </c>
      <c r="E74" s="282">
        <v>1.4</v>
      </c>
      <c r="F74" s="141" t="s">
        <v>39</v>
      </c>
      <c r="G74" s="215" t="s">
        <v>127</v>
      </c>
      <c r="H74" s="216">
        <v>0.2</v>
      </c>
      <c r="I74" s="141">
        <v>27.3</v>
      </c>
      <c r="J74" s="141">
        <v>73</v>
      </c>
      <c r="K74" s="142" t="s">
        <v>127</v>
      </c>
      <c r="L74" s="203">
        <f>AVERAGE(103,113,129,110,128,115,113,110)</f>
        <v>115.125</v>
      </c>
      <c r="M74" s="160" t="s">
        <v>1092</v>
      </c>
      <c r="N74" s="203">
        <f>AVERAGE(144,150,140,150,145,145,150,150,160)</f>
        <v>148.22222222222223</v>
      </c>
      <c r="O74" s="160" t="s">
        <v>1092</v>
      </c>
      <c r="P74" s="203">
        <v>185</v>
      </c>
      <c r="Q74" s="160" t="s">
        <v>862</v>
      </c>
      <c r="R74" s="186" t="s">
        <v>30</v>
      </c>
      <c r="S74" s="203">
        <v>165</v>
      </c>
      <c r="T74" s="160" t="s">
        <v>677</v>
      </c>
      <c r="U74" s="186" t="s">
        <v>28</v>
      </c>
    </row>
    <row r="75" spans="1:24" ht="12.6" customHeight="1">
      <c r="A75" s="213" t="s">
        <v>38</v>
      </c>
      <c r="B75" s="182" t="s">
        <v>144</v>
      </c>
      <c r="C75" s="141" t="s">
        <v>265</v>
      </c>
      <c r="D75" s="183">
        <v>1.4</v>
      </c>
      <c r="E75" s="282">
        <v>1.4</v>
      </c>
      <c r="F75" s="141" t="s">
        <v>39</v>
      </c>
      <c r="G75" s="215" t="s">
        <v>127</v>
      </c>
      <c r="H75" s="216">
        <v>0.22</v>
      </c>
      <c r="I75" s="141">
        <v>27.2</v>
      </c>
      <c r="J75" s="141">
        <v>72.8</v>
      </c>
      <c r="K75" s="142" t="s">
        <v>127</v>
      </c>
      <c r="L75" s="203">
        <f>AVERAGE(137,149,169,171,130,167,158,144)</f>
        <v>153.125</v>
      </c>
      <c r="M75" s="160" t="s">
        <v>1092</v>
      </c>
      <c r="N75" s="203">
        <f>AVERAGE(184,188,167,183,173,225,215,187,163,189)</f>
        <v>187.4</v>
      </c>
      <c r="O75" s="160" t="s">
        <v>1092</v>
      </c>
      <c r="P75" s="203">
        <v>220</v>
      </c>
      <c r="Q75" s="160" t="s">
        <v>881</v>
      </c>
      <c r="R75" s="186" t="s">
        <v>30</v>
      </c>
      <c r="S75" s="203">
        <f>350*CA.US</f>
        <v>266</v>
      </c>
      <c r="T75" s="160" t="s">
        <v>1092</v>
      </c>
      <c r="U75" s="186" t="s">
        <v>1083</v>
      </c>
    </row>
    <row r="76" spans="1:24" ht="12.6" customHeight="1">
      <c r="A76" s="205" t="s">
        <v>38</v>
      </c>
      <c r="B76" s="194" t="s">
        <v>435</v>
      </c>
      <c r="C76" s="172" t="s">
        <v>265</v>
      </c>
      <c r="D76" s="177">
        <v>1.4</v>
      </c>
      <c r="E76" s="283">
        <v>1.4</v>
      </c>
      <c r="F76" s="172" t="s">
        <v>39</v>
      </c>
      <c r="G76" s="195" t="s">
        <v>127</v>
      </c>
      <c r="H76" s="176">
        <v>0.22500000000000001</v>
      </c>
      <c r="I76" s="172">
        <v>27.2</v>
      </c>
      <c r="J76" s="172">
        <v>72.8</v>
      </c>
      <c r="K76" s="211" t="s">
        <v>127</v>
      </c>
      <c r="L76" s="197">
        <f>AVERAGE(315,320,269,255,340,330,316,310,351,360,350)</f>
        <v>319.63636363636363</v>
      </c>
      <c r="M76" s="172" t="s">
        <v>1092</v>
      </c>
      <c r="N76" s="197">
        <f>AVERAGE(356,366,380,350,357,351,310,355,380)</f>
        <v>356.11111111111109</v>
      </c>
      <c r="O76" s="172" t="s">
        <v>1092</v>
      </c>
      <c r="P76" s="197" t="s">
        <v>16</v>
      </c>
      <c r="Q76" s="172" t="s">
        <v>16</v>
      </c>
      <c r="R76" s="188" t="s">
        <v>16</v>
      </c>
      <c r="S76" s="197">
        <v>400</v>
      </c>
      <c r="T76" s="172" t="s">
        <v>821</v>
      </c>
      <c r="U76" s="188" t="s">
        <v>757</v>
      </c>
    </row>
    <row r="77" spans="1:24" ht="12.6" customHeight="1">
      <c r="A77" s="213" t="s">
        <v>38</v>
      </c>
      <c r="B77" s="182" t="s">
        <v>145</v>
      </c>
      <c r="C77" s="141" t="s">
        <v>266</v>
      </c>
      <c r="D77" s="183">
        <v>2</v>
      </c>
      <c r="E77" s="282">
        <v>2</v>
      </c>
      <c r="F77" s="141" t="s">
        <v>39</v>
      </c>
      <c r="G77" s="215" t="s">
        <v>127</v>
      </c>
      <c r="H77" s="216">
        <v>0.24</v>
      </c>
      <c r="I77" s="141">
        <v>50.5</v>
      </c>
      <c r="J77" s="141" t="s">
        <v>16</v>
      </c>
      <c r="K77" s="142" t="s">
        <v>127</v>
      </c>
      <c r="L77" s="203">
        <f>AVERAGE(140,113,140,130,145,148,150,114)</f>
        <v>135</v>
      </c>
      <c r="M77" s="160" t="s">
        <v>1092</v>
      </c>
      <c r="N77" s="203">
        <f>AVERAGE(152,155,163,158,159,158,149)</f>
        <v>156.28571428571428</v>
      </c>
      <c r="O77" s="160" t="s">
        <v>1092</v>
      </c>
      <c r="P77" s="203">
        <v>170</v>
      </c>
      <c r="Q77" s="160" t="s">
        <v>881</v>
      </c>
      <c r="R77" s="186" t="s">
        <v>30</v>
      </c>
      <c r="S77" s="203">
        <v>200</v>
      </c>
      <c r="T77" s="160" t="s">
        <v>862</v>
      </c>
      <c r="U77" s="186" t="s">
        <v>30</v>
      </c>
    </row>
    <row r="78" spans="1:24" ht="12.6" customHeight="1">
      <c r="A78" s="213" t="s">
        <v>38</v>
      </c>
      <c r="B78" s="182" t="s">
        <v>146</v>
      </c>
      <c r="C78" s="141" t="s">
        <v>266</v>
      </c>
      <c r="D78" s="183">
        <v>2</v>
      </c>
      <c r="E78" s="282">
        <v>2</v>
      </c>
      <c r="F78" s="141" t="s">
        <v>39</v>
      </c>
      <c r="G78" s="215" t="s">
        <v>127</v>
      </c>
      <c r="H78" s="216">
        <v>0.26500000000000001</v>
      </c>
      <c r="I78" s="141">
        <v>57.9</v>
      </c>
      <c r="J78" s="141">
        <v>71.8</v>
      </c>
      <c r="K78" s="142" t="s">
        <v>127</v>
      </c>
      <c r="L78" s="203">
        <f>AVERAGE(113,140,150,118,115,167,130,175,125,124)</f>
        <v>135.69999999999999</v>
      </c>
      <c r="M78" s="160" t="s">
        <v>1008</v>
      </c>
      <c r="N78" s="203">
        <f>AVERAGE(204,184,203,159,195,203,180,224,210)</f>
        <v>195.77777777777777</v>
      </c>
      <c r="O78" s="160" t="s">
        <v>1092</v>
      </c>
      <c r="P78" s="203">
        <v>220</v>
      </c>
      <c r="Q78" s="160" t="s">
        <v>881</v>
      </c>
      <c r="R78" s="186" t="s">
        <v>30</v>
      </c>
      <c r="S78" s="203">
        <v>262</v>
      </c>
      <c r="T78" s="160" t="s">
        <v>862</v>
      </c>
      <c r="U78" s="186" t="s">
        <v>30</v>
      </c>
    </row>
    <row r="79" spans="1:24" ht="12.6" customHeight="1">
      <c r="A79" s="205" t="s">
        <v>38</v>
      </c>
      <c r="B79" s="194" t="s">
        <v>436</v>
      </c>
      <c r="C79" s="172" t="s">
        <v>266</v>
      </c>
      <c r="D79" s="177">
        <v>2</v>
      </c>
      <c r="E79" s="283">
        <v>2</v>
      </c>
      <c r="F79" s="172" t="s">
        <v>39</v>
      </c>
      <c r="G79" s="195" t="s">
        <v>127</v>
      </c>
      <c r="H79" s="176">
        <v>0.32500000000000001</v>
      </c>
      <c r="I79" s="172">
        <v>53</v>
      </c>
      <c r="J79" s="172">
        <v>71.8</v>
      </c>
      <c r="K79" s="211" t="s">
        <v>127</v>
      </c>
      <c r="L79" s="197">
        <f>AVERAGE(313,299,255,306,310,327,329,300,305,299,330)</f>
        <v>306.63636363636363</v>
      </c>
      <c r="M79" s="172" t="s">
        <v>1008</v>
      </c>
      <c r="N79" s="197">
        <f>AVERAGE(349,343,340,345,389,359,366,331,393,379)</f>
        <v>359.4</v>
      </c>
      <c r="O79" s="172" t="s">
        <v>1092</v>
      </c>
      <c r="P79" s="197">
        <v>375</v>
      </c>
      <c r="Q79" s="172" t="s">
        <v>734</v>
      </c>
      <c r="R79" s="188" t="s">
        <v>757</v>
      </c>
      <c r="S79" s="197">
        <f>395*CA.US</f>
        <v>300.2</v>
      </c>
      <c r="T79" s="172" t="s">
        <v>881</v>
      </c>
      <c r="U79" s="188" t="s">
        <v>361</v>
      </c>
    </row>
    <row r="80" spans="1:24" ht="12.6" customHeight="1">
      <c r="A80" s="149"/>
      <c r="B80" s="199"/>
      <c r="C80" s="155"/>
      <c r="D80" s="156"/>
      <c r="E80" s="155"/>
      <c r="F80" s="155"/>
      <c r="G80" s="170"/>
      <c r="H80" s="156"/>
      <c r="I80" s="156"/>
      <c r="J80" s="156"/>
      <c r="K80" s="156"/>
      <c r="L80" s="155"/>
      <c r="M80" s="156"/>
      <c r="N80" s="155"/>
      <c r="O80" s="156"/>
      <c r="P80" s="155"/>
      <c r="Q80" s="156"/>
      <c r="R80" s="156"/>
      <c r="S80" s="141"/>
      <c r="T80" s="156"/>
      <c r="U80" s="156"/>
    </row>
    <row r="81" spans="1:21" ht="12.6" customHeight="1">
      <c r="A81" s="149"/>
      <c r="B81" s="199"/>
      <c r="C81" s="155"/>
      <c r="D81" s="156"/>
      <c r="E81" s="155"/>
      <c r="F81" s="155"/>
      <c r="G81" s="170"/>
      <c r="H81" s="156"/>
      <c r="I81" s="156"/>
      <c r="J81" s="156"/>
      <c r="K81" s="156"/>
      <c r="L81" s="155" t="s">
        <v>16</v>
      </c>
      <c r="M81" s="156"/>
      <c r="N81" s="155"/>
      <c r="O81" s="156"/>
      <c r="P81" s="155"/>
      <c r="Q81" s="156"/>
      <c r="R81" s="156"/>
      <c r="S81" s="141"/>
      <c r="T81" s="156"/>
      <c r="U81" s="156"/>
    </row>
  </sheetData>
  <sheetProtection password="990B" sheet="1" objects="1" scenarios="1"/>
  <phoneticPr fontId="0" type="noConversion"/>
  <conditionalFormatting sqref="O73 M73">
    <cfRule type="cellIs" dxfId="395" priority="5" stopIfTrue="1" operator="lessThan">
      <formula>".08-09"</formula>
    </cfRule>
  </conditionalFormatting>
  <conditionalFormatting sqref="O70 M70">
    <cfRule type="cellIs" dxfId="394" priority="2" stopIfTrue="1" operator="lessThan">
      <formula>".08-09"</formula>
    </cfRule>
  </conditionalFormatting>
  <pageMargins left="0.3" right="0" top="0.5" bottom="0" header="0.5" footer="0.511811023622047"/>
  <pageSetup orientation="landscape" r:id="rId1"/>
  <headerFooter alignWithMargins="0">
    <oddHeader>&amp;R&amp;9(&amp;P of &amp;N)</oddHead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47"/>
  <sheetViews>
    <sheetView zoomScaleNormal="100" workbookViewId="0"/>
  </sheetViews>
  <sheetFormatPr defaultRowHeight="12.6" customHeight="1"/>
  <cols>
    <col min="1" max="1" width="5.5703125" style="37" customWidth="1"/>
    <col min="2" max="2" width="21.85546875" style="63" customWidth="1"/>
    <col min="3" max="3" width="6.28515625" style="36" customWidth="1"/>
    <col min="4" max="4" width="6.7109375" style="36" customWidth="1"/>
    <col min="5" max="5" width="8" style="36" customWidth="1"/>
    <col min="6" max="6" width="4.42578125" style="36" customWidth="1"/>
    <col min="7" max="7" width="4.7109375" style="44" customWidth="1"/>
    <col min="8" max="8" width="4.7109375" style="53" customWidth="1"/>
    <col min="9" max="11" width="4.7109375" style="16" customWidth="1"/>
    <col min="12" max="12" width="5.28515625" style="16" customWidth="1"/>
    <col min="13" max="13" width="5.28515625" style="18" customWidth="1"/>
    <col min="14" max="14" width="5.28515625" style="16" customWidth="1"/>
    <col min="15" max="15" width="5.28515625" style="18" customWidth="1"/>
    <col min="16" max="16" width="5.28515625" style="16" customWidth="1"/>
    <col min="17" max="17" width="5.28515625" style="18" customWidth="1"/>
    <col min="18" max="18" width="6.5703125" style="37" customWidth="1"/>
    <col min="19" max="19" width="5.28515625" style="16" customWidth="1"/>
    <col min="20" max="20" width="5.28515625" style="18" customWidth="1"/>
    <col min="21" max="21" width="6.5703125" style="37" customWidth="1"/>
    <col min="22" max="22" width="2.28515625" style="37" customWidth="1"/>
    <col min="23" max="23" width="2.85546875" style="18" customWidth="1"/>
    <col min="24" max="16384" width="9.140625" style="37"/>
  </cols>
  <sheetData>
    <row r="1" spans="1:23" s="19" customFormat="1" ht="12.6" customHeight="1">
      <c r="A1" s="10" t="str">
        <f>i!A1</f>
        <v>Lens$db: Lens Price database</v>
      </c>
      <c r="B1" s="30"/>
      <c r="C1" s="20"/>
      <c r="D1" s="13"/>
      <c r="E1" s="20"/>
      <c r="F1" s="13"/>
      <c r="G1" s="61"/>
      <c r="H1" s="30"/>
      <c r="I1" s="15" t="s">
        <v>16</v>
      </c>
      <c r="J1" s="30"/>
      <c r="K1" s="15" t="s">
        <v>16</v>
      </c>
      <c r="L1" s="15"/>
      <c r="M1" s="17"/>
      <c r="N1" s="15"/>
      <c r="O1" s="17"/>
      <c r="P1" s="16" t="s">
        <v>16</v>
      </c>
      <c r="Q1" s="17"/>
      <c r="R1" s="16" t="str">
        <f>i!B3</f>
        <v>.2016-06-01</v>
      </c>
      <c r="S1" s="47"/>
      <c r="T1" s="17"/>
      <c r="U1" s="16" t="s">
        <v>16</v>
      </c>
      <c r="W1" s="17"/>
    </row>
    <row r="2" spans="1:23" s="19" customFormat="1" ht="12.6" customHeight="1">
      <c r="A2" s="143" t="str">
        <f>i!A3</f>
        <v>v.31</v>
      </c>
      <c r="B2" s="30"/>
      <c r="C2" s="20"/>
      <c r="D2" s="13"/>
      <c r="E2" s="20"/>
      <c r="F2" s="13"/>
      <c r="G2" s="48"/>
      <c r="H2" s="17"/>
      <c r="I2" s="17"/>
      <c r="J2" s="17"/>
      <c r="K2" s="15"/>
      <c r="L2" s="47"/>
      <c r="M2" s="18"/>
      <c r="N2" s="27"/>
      <c r="O2" s="18"/>
      <c r="P2" s="27"/>
      <c r="Q2" s="18"/>
      <c r="R2" s="27"/>
      <c r="S2" s="27"/>
      <c r="T2" s="18"/>
      <c r="U2" s="27"/>
      <c r="W2" s="17"/>
    </row>
    <row r="3" spans="1:23" s="30" customFormat="1" ht="12.6" customHeight="1">
      <c r="C3" s="21"/>
      <c r="D3" s="23"/>
      <c r="E3" s="21"/>
      <c r="F3" s="23"/>
      <c r="G3" s="62"/>
      <c r="H3" s="50"/>
      <c r="I3" s="50"/>
      <c r="J3" s="50"/>
      <c r="K3" s="50"/>
      <c r="L3" s="51"/>
      <c r="M3" s="28"/>
      <c r="N3" s="28" t="s">
        <v>17</v>
      </c>
      <c r="O3" s="28"/>
      <c r="P3" s="134"/>
      <c r="Q3" s="90"/>
      <c r="R3" s="31" t="s">
        <v>18</v>
      </c>
      <c r="S3" s="27"/>
      <c r="T3" s="28"/>
      <c r="U3" s="33"/>
      <c r="W3" s="13"/>
    </row>
    <row r="4" spans="1:23" ht="12.6" customHeight="1">
      <c r="A4" s="30" t="s">
        <v>154</v>
      </c>
      <c r="C4" s="36" t="s">
        <v>6</v>
      </c>
      <c r="D4" s="36" t="s">
        <v>11</v>
      </c>
      <c r="E4" s="36" t="s">
        <v>760</v>
      </c>
      <c r="F4" s="122" t="s">
        <v>13</v>
      </c>
      <c r="G4" s="52" t="s">
        <v>277</v>
      </c>
      <c r="H4" s="53" t="s">
        <v>7</v>
      </c>
      <c r="I4" s="16" t="s">
        <v>325</v>
      </c>
      <c r="J4" s="16" t="s">
        <v>326</v>
      </c>
      <c r="K4" s="31" t="s">
        <v>327</v>
      </c>
      <c r="L4" s="32" t="s">
        <v>506</v>
      </c>
      <c r="M4" s="33"/>
      <c r="N4" s="34" t="s">
        <v>19</v>
      </c>
      <c r="O4" s="27"/>
      <c r="P4" s="54"/>
      <c r="Q4" s="28" t="s">
        <v>507</v>
      </c>
      <c r="R4" s="29"/>
      <c r="S4" s="127"/>
      <c r="T4" s="33" t="s">
        <v>9</v>
      </c>
      <c r="U4" s="33"/>
    </row>
    <row r="5" spans="1:23" ht="12.6" customHeight="1">
      <c r="A5" s="38" t="s">
        <v>16</v>
      </c>
      <c r="B5" s="64" t="s">
        <v>16</v>
      </c>
      <c r="C5" s="24" t="s">
        <v>20</v>
      </c>
      <c r="D5" s="24" t="s">
        <v>16</v>
      </c>
      <c r="E5" s="24" t="s">
        <v>20</v>
      </c>
      <c r="F5" s="65" t="s">
        <v>16</v>
      </c>
      <c r="G5" s="55" t="s">
        <v>37</v>
      </c>
      <c r="H5" s="56" t="s">
        <v>21</v>
      </c>
      <c r="I5" s="27" t="s">
        <v>20</v>
      </c>
      <c r="J5" s="27" t="s">
        <v>20</v>
      </c>
      <c r="K5" s="33" t="s">
        <v>20</v>
      </c>
      <c r="L5" s="26" t="s">
        <v>22</v>
      </c>
      <c r="M5" s="33" t="s">
        <v>23</v>
      </c>
      <c r="N5" s="27" t="s">
        <v>22</v>
      </c>
      <c r="O5" s="33" t="s">
        <v>23</v>
      </c>
      <c r="P5" s="26" t="s">
        <v>22</v>
      </c>
      <c r="Q5" s="27" t="s">
        <v>23</v>
      </c>
      <c r="R5" s="33" t="s">
        <v>24</v>
      </c>
      <c r="S5" s="35" t="s">
        <v>22</v>
      </c>
      <c r="T5" s="28" t="s">
        <v>23</v>
      </c>
      <c r="U5" s="29" t="s">
        <v>24</v>
      </c>
    </row>
    <row r="6" spans="1:23" ht="12.6" customHeight="1">
      <c r="A6" s="37" t="s">
        <v>803</v>
      </c>
      <c r="B6" s="63" t="s">
        <v>804</v>
      </c>
      <c r="C6" s="36" t="s">
        <v>805</v>
      </c>
      <c r="D6" s="210">
        <v>4</v>
      </c>
      <c r="E6" s="36" t="s">
        <v>806</v>
      </c>
      <c r="F6" s="66" t="s">
        <v>39</v>
      </c>
      <c r="G6" s="58">
        <v>0.28000000000000003</v>
      </c>
      <c r="H6" s="53">
        <v>1.18</v>
      </c>
      <c r="I6" s="16">
        <v>132</v>
      </c>
      <c r="J6" s="16">
        <v>109.2</v>
      </c>
      <c r="K6" s="16" t="s">
        <v>31</v>
      </c>
      <c r="L6" s="40">
        <f>AVERAGE(2499,2310,2480,2400,2635,2605,2606,2579,2376)</f>
        <v>2498.8888888888887</v>
      </c>
      <c r="M6" s="83" t="s">
        <v>1008</v>
      </c>
      <c r="N6" s="67">
        <f>AVERAGE(3099,2999,3000,3050,3000,3050)</f>
        <v>3033</v>
      </c>
      <c r="O6" s="16" t="s">
        <v>821</v>
      </c>
      <c r="P6" s="25" t="s">
        <v>16</v>
      </c>
      <c r="Q6" s="16" t="s">
        <v>16</v>
      </c>
      <c r="R6" s="31" t="s">
        <v>16</v>
      </c>
      <c r="S6" s="67">
        <v>3000</v>
      </c>
      <c r="T6" s="16" t="s">
        <v>862</v>
      </c>
      <c r="U6" s="31" t="s">
        <v>30</v>
      </c>
    </row>
    <row r="7" spans="1:23" s="19" customFormat="1" ht="12.6" customHeight="1">
      <c r="A7" s="57" t="s">
        <v>38</v>
      </c>
      <c r="B7" s="37" t="s">
        <v>890</v>
      </c>
      <c r="C7" s="18" t="s">
        <v>47</v>
      </c>
      <c r="D7" s="18">
        <v>2.8</v>
      </c>
      <c r="E7" s="18" t="s">
        <v>48</v>
      </c>
      <c r="F7" s="66" t="s">
        <v>39</v>
      </c>
      <c r="G7" s="58">
        <v>0.28000000000000003</v>
      </c>
      <c r="H7" s="53">
        <v>0.6</v>
      </c>
      <c r="I7" s="16">
        <v>103</v>
      </c>
      <c r="J7" s="16">
        <v>83.5</v>
      </c>
      <c r="K7" s="18">
        <v>77</v>
      </c>
      <c r="L7" s="25">
        <f>AVERAGE(640,630,700,770,714,720,700,800,650,550,746)</f>
        <v>692.72727272727275</v>
      </c>
      <c r="M7" s="73" t="s">
        <v>1092</v>
      </c>
      <c r="N7" s="25">
        <f>AVERAGE(942,912,1099,848,1000,895,960,922,975,910)</f>
        <v>946.3</v>
      </c>
      <c r="O7" s="36" t="s">
        <v>1092</v>
      </c>
      <c r="P7" s="25">
        <v>880</v>
      </c>
      <c r="Q7" s="36" t="s">
        <v>881</v>
      </c>
      <c r="R7" s="31" t="s">
        <v>30</v>
      </c>
      <c r="S7" s="25">
        <v>1170</v>
      </c>
      <c r="T7" s="36" t="s">
        <v>821</v>
      </c>
      <c r="U7" s="31" t="s">
        <v>30</v>
      </c>
      <c r="W7" s="17"/>
    </row>
    <row r="8" spans="1:23" s="19" customFormat="1" ht="12.6" customHeight="1">
      <c r="A8" s="213" t="s">
        <v>38</v>
      </c>
      <c r="B8" s="161" t="s">
        <v>891</v>
      </c>
      <c r="C8" s="142" t="s">
        <v>47</v>
      </c>
      <c r="D8" s="142">
        <v>2.8</v>
      </c>
      <c r="E8" s="142" t="s">
        <v>48</v>
      </c>
      <c r="F8" s="214" t="s">
        <v>39</v>
      </c>
      <c r="G8" s="215">
        <v>0.28000000000000003</v>
      </c>
      <c r="H8" s="216">
        <v>0.63500000000000001</v>
      </c>
      <c r="I8" s="141">
        <v>111.6</v>
      </c>
      <c r="J8" s="141">
        <v>88</v>
      </c>
      <c r="K8" s="142">
        <v>82</v>
      </c>
      <c r="L8" s="203">
        <f>AVERAGE(870,926,900,911,821,985,915,952,980,910,898,909)</f>
        <v>914.75</v>
      </c>
      <c r="M8" s="160" t="s">
        <v>1092</v>
      </c>
      <c r="N8" s="203">
        <f>AVERAGE(1075,1250,1075,1150,1005,1142,1039,1069,1200,1225,1360,1087,1105)</f>
        <v>1137.0769230769231</v>
      </c>
      <c r="O8" s="160" t="s">
        <v>1092</v>
      </c>
      <c r="P8" s="203">
        <v>1175</v>
      </c>
      <c r="Q8" s="160" t="s">
        <v>881</v>
      </c>
      <c r="R8" s="186" t="s">
        <v>33</v>
      </c>
      <c r="S8" s="203">
        <f>1395*CA.US</f>
        <v>1060.2</v>
      </c>
      <c r="T8" s="160" t="s">
        <v>1092</v>
      </c>
      <c r="U8" s="186" t="s">
        <v>1083</v>
      </c>
      <c r="W8" s="17"/>
    </row>
    <row r="9" spans="1:23" s="19" customFormat="1" ht="12.6" customHeight="1">
      <c r="A9" s="213" t="s">
        <v>38</v>
      </c>
      <c r="B9" s="161" t="s">
        <v>892</v>
      </c>
      <c r="C9" s="142" t="s">
        <v>47</v>
      </c>
      <c r="D9" s="142">
        <v>4</v>
      </c>
      <c r="E9" s="142" t="s">
        <v>48</v>
      </c>
      <c r="F9" s="214" t="s">
        <v>39</v>
      </c>
      <c r="G9" s="215">
        <v>0.28000000000000003</v>
      </c>
      <c r="H9" s="216">
        <v>0.61499999999999999</v>
      </c>
      <c r="I9" s="141">
        <v>112.8</v>
      </c>
      <c r="J9" s="141">
        <v>82.6</v>
      </c>
      <c r="K9" s="142">
        <v>77</v>
      </c>
      <c r="L9" s="203">
        <f>AVERAGE(798,775,850,886,718,764,750,897,799,885,800)</f>
        <v>811.09090909090912</v>
      </c>
      <c r="M9" s="280" t="s">
        <v>1092</v>
      </c>
      <c r="N9" s="203">
        <f>AVERAGE(948,910,970,1099,1000,1099,1170)</f>
        <v>1028</v>
      </c>
      <c r="O9" s="160" t="s">
        <v>1001</v>
      </c>
      <c r="P9" s="203" t="s">
        <v>16</v>
      </c>
      <c r="Q9" s="160" t="s">
        <v>16</v>
      </c>
      <c r="R9" s="186" t="s">
        <v>16</v>
      </c>
      <c r="S9" s="281">
        <v>1050</v>
      </c>
      <c r="T9" s="160" t="s">
        <v>881</v>
      </c>
      <c r="U9" s="186" t="s">
        <v>30</v>
      </c>
      <c r="W9" s="17"/>
    </row>
    <row r="10" spans="1:23" s="19" customFormat="1" ht="12.6" customHeight="1">
      <c r="A10" s="213" t="s">
        <v>38</v>
      </c>
      <c r="B10" s="161" t="s">
        <v>893</v>
      </c>
      <c r="C10" s="142" t="s">
        <v>49</v>
      </c>
      <c r="D10" s="142">
        <v>2.8</v>
      </c>
      <c r="E10" s="142" t="s">
        <v>50</v>
      </c>
      <c r="F10" s="214" t="s">
        <v>39</v>
      </c>
      <c r="G10" s="215">
        <v>0.42</v>
      </c>
      <c r="H10" s="216">
        <v>0.54500000000000004</v>
      </c>
      <c r="I10" s="141">
        <v>95.7</v>
      </c>
      <c r="J10" s="141">
        <v>83.5</v>
      </c>
      <c r="K10" s="142">
        <v>77</v>
      </c>
      <c r="L10" s="203">
        <f>AVERAGE(482,468,480,480,450,489,380,405,510,540)</f>
        <v>468.4</v>
      </c>
      <c r="M10" s="280" t="s">
        <v>1092</v>
      </c>
      <c r="N10" s="203">
        <f>AVERAGE(540,600,570,549,512,542,600,625,620,600,603)</f>
        <v>578.27272727272725</v>
      </c>
      <c r="O10" s="160" t="s">
        <v>1092</v>
      </c>
      <c r="P10" s="203">
        <v>730</v>
      </c>
      <c r="Q10" s="160" t="s">
        <v>821</v>
      </c>
      <c r="R10" s="186" t="s">
        <v>30</v>
      </c>
      <c r="S10" s="203">
        <v>595</v>
      </c>
      <c r="T10" s="160" t="s">
        <v>881</v>
      </c>
      <c r="U10" s="186" t="s">
        <v>29</v>
      </c>
      <c r="W10" s="17"/>
    </row>
    <row r="11" spans="1:23" s="19" customFormat="1" ht="12.6" customHeight="1">
      <c r="A11" s="213" t="s">
        <v>38</v>
      </c>
      <c r="B11" s="161" t="s">
        <v>894</v>
      </c>
      <c r="C11" s="142" t="s">
        <v>51</v>
      </c>
      <c r="D11" s="142">
        <v>4</v>
      </c>
      <c r="E11" s="142" t="s">
        <v>52</v>
      </c>
      <c r="F11" s="214" t="s">
        <v>39</v>
      </c>
      <c r="G11" s="215">
        <v>0.28000000000000003</v>
      </c>
      <c r="H11" s="216">
        <v>0.5</v>
      </c>
      <c r="I11" s="141">
        <v>96.8</v>
      </c>
      <c r="J11" s="141">
        <v>83.5</v>
      </c>
      <c r="K11" s="142">
        <v>77</v>
      </c>
      <c r="L11" s="203">
        <f>AVERAGE(395,435,427,368,410,420,407,440,416,435)</f>
        <v>415.3</v>
      </c>
      <c r="M11" s="280" t="s">
        <v>1092</v>
      </c>
      <c r="N11" s="203">
        <f>AVERAGE(520,500,466,529,510,490,479,532,501,520,500,565)</f>
        <v>509.33333333333331</v>
      </c>
      <c r="O11" s="160" t="s">
        <v>1092</v>
      </c>
      <c r="P11" s="203">
        <f>599*CA.US</f>
        <v>455.24</v>
      </c>
      <c r="Q11" s="160" t="s">
        <v>1001</v>
      </c>
      <c r="R11" s="186" t="s">
        <v>623</v>
      </c>
      <c r="S11" s="203">
        <v>600</v>
      </c>
      <c r="T11" s="160" t="s">
        <v>881</v>
      </c>
      <c r="U11" s="186" t="s">
        <v>30</v>
      </c>
      <c r="W11" s="17"/>
    </row>
    <row r="12" spans="1:23" s="19" customFormat="1" ht="12.6" customHeight="1">
      <c r="A12" s="205" t="s">
        <v>38</v>
      </c>
      <c r="B12" s="193" t="s">
        <v>895</v>
      </c>
      <c r="C12" s="211" t="s">
        <v>53</v>
      </c>
      <c r="D12" s="211">
        <v>2.8</v>
      </c>
      <c r="E12" s="211" t="s">
        <v>54</v>
      </c>
      <c r="F12" s="212" t="s">
        <v>39</v>
      </c>
      <c r="G12" s="195">
        <v>0.5</v>
      </c>
      <c r="H12" s="176">
        <v>0.54</v>
      </c>
      <c r="I12" s="172">
        <v>79.2</v>
      </c>
      <c r="J12" s="172">
        <v>89</v>
      </c>
      <c r="K12" s="211">
        <v>72</v>
      </c>
      <c r="L12" s="197">
        <f>AVERAGE(370,399,362,400,355,350,413,419)</f>
        <v>383.5</v>
      </c>
      <c r="M12" s="279" t="s">
        <v>1092</v>
      </c>
      <c r="N12" s="197">
        <f>AVERAGE(469,478,459,475,400,416,425,425,460)</f>
        <v>445.22222222222223</v>
      </c>
      <c r="O12" s="206" t="s">
        <v>1092</v>
      </c>
      <c r="P12" s="197">
        <v>470</v>
      </c>
      <c r="Q12" s="206" t="s">
        <v>765</v>
      </c>
      <c r="R12" s="188" t="s">
        <v>33</v>
      </c>
      <c r="S12" s="197">
        <v>795</v>
      </c>
      <c r="T12" s="206" t="s">
        <v>560</v>
      </c>
      <c r="U12" s="188" t="s">
        <v>29</v>
      </c>
      <c r="W12" s="17"/>
    </row>
    <row r="13" spans="1:23" s="19" customFormat="1" ht="12.6" customHeight="1">
      <c r="A13" s="213" t="s">
        <v>38</v>
      </c>
      <c r="B13" s="161" t="s">
        <v>896</v>
      </c>
      <c r="C13" s="142" t="s">
        <v>55</v>
      </c>
      <c r="D13" s="142">
        <v>2.8</v>
      </c>
      <c r="E13" s="142" t="s">
        <v>56</v>
      </c>
      <c r="F13" s="214" t="s">
        <v>39</v>
      </c>
      <c r="G13" s="215">
        <v>0.38</v>
      </c>
      <c r="H13" s="216">
        <v>0.95</v>
      </c>
      <c r="I13" s="141">
        <v>123.5</v>
      </c>
      <c r="J13" s="141">
        <v>83.2</v>
      </c>
      <c r="K13" s="142">
        <v>77</v>
      </c>
      <c r="L13" s="203">
        <f>AVERAGE(860,745,694,740,726,733,682,700,795,750)</f>
        <v>742.5</v>
      </c>
      <c r="M13" s="160" t="s">
        <v>1092</v>
      </c>
      <c r="N13" s="203">
        <f>AVERAGE(1004,902,947,960,963,1000,945,870,1125,1099,830)</f>
        <v>967.72727272727275</v>
      </c>
      <c r="O13" s="160" t="s">
        <v>1092</v>
      </c>
      <c r="P13" s="203">
        <v>1120</v>
      </c>
      <c r="Q13" s="160" t="s">
        <v>881</v>
      </c>
      <c r="R13" s="186" t="s">
        <v>30</v>
      </c>
      <c r="S13" s="203">
        <v>975</v>
      </c>
      <c r="T13" s="160" t="s">
        <v>881</v>
      </c>
      <c r="U13" s="186" t="s">
        <v>29</v>
      </c>
      <c r="W13" s="17"/>
    </row>
    <row r="14" spans="1:23" s="19" customFormat="1" ht="12.6" customHeight="1">
      <c r="A14" s="213" t="s">
        <v>38</v>
      </c>
      <c r="B14" s="161" t="s">
        <v>897</v>
      </c>
      <c r="C14" s="142" t="s">
        <v>55</v>
      </c>
      <c r="D14" s="142">
        <v>2.8</v>
      </c>
      <c r="E14" s="142" t="s">
        <v>56</v>
      </c>
      <c r="F14" s="214" t="s">
        <v>39</v>
      </c>
      <c r="G14" s="215">
        <v>0.38</v>
      </c>
      <c r="H14" s="216">
        <v>0.80300000000000005</v>
      </c>
      <c r="I14" s="141">
        <v>111.8</v>
      </c>
      <c r="J14" s="141">
        <v>88.9</v>
      </c>
      <c r="K14" s="142">
        <v>82</v>
      </c>
      <c r="L14" s="203">
        <f>AVERAGE(1350,1333,1237,1372,1300,1411,1350,1370,1302,1365)</f>
        <v>1339</v>
      </c>
      <c r="M14" s="160" t="s">
        <v>1092</v>
      </c>
      <c r="N14" s="203">
        <f>AVERAGE(1500,1522,1425,1525,1600,1500,1525,1512,1500,1550)</f>
        <v>1515.9</v>
      </c>
      <c r="O14" s="160" t="s">
        <v>1092</v>
      </c>
      <c r="P14" s="203">
        <v>1410</v>
      </c>
      <c r="Q14" s="160" t="s">
        <v>881</v>
      </c>
      <c r="R14" s="186" t="s">
        <v>757</v>
      </c>
      <c r="S14" s="203">
        <v>1520</v>
      </c>
      <c r="T14" s="160" t="s">
        <v>881</v>
      </c>
      <c r="U14" s="186" t="s">
        <v>757</v>
      </c>
      <c r="W14" s="17"/>
    </row>
    <row r="15" spans="1:23" s="19" customFormat="1" ht="12.6" customHeight="1">
      <c r="A15" s="213" t="s">
        <v>38</v>
      </c>
      <c r="B15" s="161" t="s">
        <v>898</v>
      </c>
      <c r="C15" s="142" t="s">
        <v>55</v>
      </c>
      <c r="D15" s="142">
        <v>4</v>
      </c>
      <c r="E15" s="142" t="s">
        <v>56</v>
      </c>
      <c r="F15" s="214" t="s">
        <v>39</v>
      </c>
      <c r="G15" s="215">
        <v>0.2</v>
      </c>
      <c r="H15" s="216">
        <v>0.6</v>
      </c>
      <c r="I15" s="141">
        <v>94</v>
      </c>
      <c r="J15" s="141">
        <v>83.8</v>
      </c>
      <c r="K15" s="142">
        <v>77</v>
      </c>
      <c r="L15" s="203">
        <f>AVERAGE(477,556,455,600,500,530,498,565,560,561,495,595)</f>
        <v>532.66666666666663</v>
      </c>
      <c r="M15" s="160" t="s">
        <v>1092</v>
      </c>
      <c r="N15" s="203">
        <f>AVERAGE(720,621,610,705,770,650,691,710)</f>
        <v>684.625</v>
      </c>
      <c r="O15" s="160" t="s">
        <v>1092</v>
      </c>
      <c r="P15" s="203">
        <v>700</v>
      </c>
      <c r="Q15" s="160" t="s">
        <v>862</v>
      </c>
      <c r="R15" s="186" t="s">
        <v>33</v>
      </c>
      <c r="S15" s="203">
        <f>995*CA.US</f>
        <v>756.2</v>
      </c>
      <c r="T15" s="160" t="s">
        <v>1092</v>
      </c>
      <c r="U15" s="186" t="s">
        <v>1083</v>
      </c>
      <c r="W15" s="17"/>
    </row>
    <row r="16" spans="1:23" s="19" customFormat="1" ht="12.6" customHeight="1">
      <c r="A16" s="213" t="s">
        <v>38</v>
      </c>
      <c r="B16" s="161" t="s">
        <v>899</v>
      </c>
      <c r="C16" s="142" t="s">
        <v>57</v>
      </c>
      <c r="D16" s="142">
        <v>4</v>
      </c>
      <c r="E16" s="142" t="s">
        <v>58</v>
      </c>
      <c r="F16" s="214" t="s">
        <v>39</v>
      </c>
      <c r="G16" s="215">
        <v>0.45</v>
      </c>
      <c r="H16" s="216">
        <v>0.67</v>
      </c>
      <c r="I16" s="141">
        <v>107</v>
      </c>
      <c r="J16" s="141">
        <v>83.5</v>
      </c>
      <c r="K16" s="142">
        <v>77</v>
      </c>
      <c r="L16" s="203">
        <f>AVERAGE(395,445,446,440,450,461,421,451,445,420)</f>
        <v>437.4</v>
      </c>
      <c r="M16" s="160" t="s">
        <v>1092</v>
      </c>
      <c r="N16" s="203">
        <f>AVERAGE(503,560,546,560,526,520,510,560,511)</f>
        <v>532.88888888888891</v>
      </c>
      <c r="O16" s="160" t="s">
        <v>1092</v>
      </c>
      <c r="P16" s="203">
        <f>699*CA.US</f>
        <v>531.24</v>
      </c>
      <c r="Q16" s="160" t="s">
        <v>1001</v>
      </c>
      <c r="R16" s="186" t="s">
        <v>623</v>
      </c>
      <c r="S16" s="203">
        <v>620</v>
      </c>
      <c r="T16" s="160" t="s">
        <v>881</v>
      </c>
      <c r="U16" s="186" t="s">
        <v>757</v>
      </c>
      <c r="W16" s="17"/>
    </row>
    <row r="17" spans="1:23" s="19" customFormat="1" ht="12.6" customHeight="1">
      <c r="A17" s="213" t="s">
        <v>38</v>
      </c>
      <c r="B17" s="161" t="s">
        <v>900</v>
      </c>
      <c r="C17" s="142" t="s">
        <v>59</v>
      </c>
      <c r="D17" s="142">
        <v>2.8</v>
      </c>
      <c r="E17" s="142" t="s">
        <v>60</v>
      </c>
      <c r="F17" s="214" t="s">
        <v>39</v>
      </c>
      <c r="G17" s="215">
        <v>0.5</v>
      </c>
      <c r="H17" s="216">
        <v>0.88</v>
      </c>
      <c r="I17" s="141">
        <v>117.6</v>
      </c>
      <c r="J17" s="141">
        <v>83.2</v>
      </c>
      <c r="K17" s="142">
        <v>77</v>
      </c>
      <c r="L17" s="203">
        <f>AVERAGE(495,458,503,499,528,530,457,465,559,540,476,549)</f>
        <v>504.91666666666669</v>
      </c>
      <c r="M17" s="160" t="s">
        <v>1092</v>
      </c>
      <c r="N17" s="203">
        <f>AVERAGE(619,580,616,575,610,559,551,625,690)</f>
        <v>602.77777777777783</v>
      </c>
      <c r="O17" s="160" t="s">
        <v>1008</v>
      </c>
      <c r="P17" s="203">
        <v>620</v>
      </c>
      <c r="Q17" s="160" t="s">
        <v>881</v>
      </c>
      <c r="R17" s="186" t="s">
        <v>30</v>
      </c>
      <c r="S17" s="203">
        <v>730</v>
      </c>
      <c r="T17" s="160" t="s">
        <v>881</v>
      </c>
      <c r="U17" s="186" t="s">
        <v>30</v>
      </c>
      <c r="W17" s="17"/>
    </row>
    <row r="18" spans="1:23" s="19" customFormat="1" ht="12.6" customHeight="1">
      <c r="A18" s="205" t="s">
        <v>38</v>
      </c>
      <c r="B18" s="193" t="s">
        <v>887</v>
      </c>
      <c r="C18" s="211" t="s">
        <v>61</v>
      </c>
      <c r="D18" s="211" t="s">
        <v>62</v>
      </c>
      <c r="E18" s="211" t="s">
        <v>63</v>
      </c>
      <c r="F18" s="212" t="s">
        <v>39</v>
      </c>
      <c r="G18" s="195">
        <v>0.3</v>
      </c>
      <c r="H18" s="176">
        <v>0.94499999999999995</v>
      </c>
      <c r="I18" s="172">
        <v>119.5</v>
      </c>
      <c r="J18" s="172">
        <v>84</v>
      </c>
      <c r="K18" s="211">
        <v>72</v>
      </c>
      <c r="L18" s="197">
        <f>AVERAGE(360,380,312,380,437,310,426)</f>
        <v>372.14285714285717</v>
      </c>
      <c r="M18" s="206" t="s">
        <v>1092</v>
      </c>
      <c r="N18" s="197">
        <f>AVERAGE(550,550,523,580,620,600,510,592,531)</f>
        <v>561.77777777777783</v>
      </c>
      <c r="O18" s="206" t="s">
        <v>821</v>
      </c>
      <c r="P18" s="197">
        <v>530</v>
      </c>
      <c r="Q18" s="206" t="s">
        <v>881</v>
      </c>
      <c r="R18" s="188" t="s">
        <v>30</v>
      </c>
      <c r="S18" s="197">
        <v>800</v>
      </c>
      <c r="T18" s="206" t="s">
        <v>425</v>
      </c>
      <c r="U18" s="188" t="s">
        <v>33</v>
      </c>
      <c r="W18" s="17"/>
    </row>
    <row r="19" spans="1:23" s="19" customFormat="1" ht="12.6" customHeight="1">
      <c r="A19" s="213" t="s">
        <v>38</v>
      </c>
      <c r="B19" s="161" t="s">
        <v>888</v>
      </c>
      <c r="C19" s="142" t="s">
        <v>64</v>
      </c>
      <c r="D19" s="142">
        <v>2.8</v>
      </c>
      <c r="E19" s="142" t="s">
        <v>65</v>
      </c>
      <c r="F19" s="214" t="s">
        <v>39</v>
      </c>
      <c r="G19" s="215">
        <v>1.5</v>
      </c>
      <c r="H19" s="216">
        <v>1.31</v>
      </c>
      <c r="I19" s="141">
        <v>193.6</v>
      </c>
      <c r="J19" s="141">
        <v>84.6</v>
      </c>
      <c r="K19" s="142">
        <v>77</v>
      </c>
      <c r="L19" s="203">
        <f xml:space="preserve"> AVERAGE(749,765,810,740,840,845,820,806,800,763,785)</f>
        <v>793</v>
      </c>
      <c r="M19" s="160" t="s">
        <v>1092</v>
      </c>
      <c r="N19" s="203">
        <f>AVERAGE(1162,985,1111,1045,995,1000,860,1150,1000,1027)</f>
        <v>1033.5</v>
      </c>
      <c r="O19" s="160" t="s">
        <v>1092</v>
      </c>
      <c r="P19" s="203">
        <v>950</v>
      </c>
      <c r="Q19" s="160" t="s">
        <v>1092</v>
      </c>
      <c r="R19" s="186" t="s">
        <v>1035</v>
      </c>
      <c r="S19" s="203">
        <v>1070</v>
      </c>
      <c r="T19" s="160" t="s">
        <v>881</v>
      </c>
      <c r="U19" s="186" t="s">
        <v>33</v>
      </c>
      <c r="W19" s="17"/>
    </row>
    <row r="20" spans="1:23" s="19" customFormat="1" ht="12.6" customHeight="1">
      <c r="A20" s="213" t="s">
        <v>38</v>
      </c>
      <c r="B20" s="161" t="s">
        <v>901</v>
      </c>
      <c r="C20" s="142" t="s">
        <v>64</v>
      </c>
      <c r="D20" s="142">
        <v>2.8</v>
      </c>
      <c r="E20" s="142" t="s">
        <v>65</v>
      </c>
      <c r="F20" s="214" t="s">
        <v>39</v>
      </c>
      <c r="G20" s="215">
        <v>1.4</v>
      </c>
      <c r="H20" s="216">
        <v>1.59</v>
      </c>
      <c r="I20" s="141">
        <v>197</v>
      </c>
      <c r="J20" s="141">
        <v>86.2</v>
      </c>
      <c r="K20" s="142">
        <v>77</v>
      </c>
      <c r="L20" s="203">
        <f>AVERAGE(1052,972,1026,987,1152,1010,1026,1000,1001,1022,950)</f>
        <v>1018</v>
      </c>
      <c r="M20" s="160" t="s">
        <v>1092</v>
      </c>
      <c r="N20" s="203">
        <f>AVERAGE(1225,1198,1205,1300,1201,1400,1055,1200,1275,1190)</f>
        <v>1224.9000000000001</v>
      </c>
      <c r="O20" s="160" t="s">
        <v>1092</v>
      </c>
      <c r="P20" s="203">
        <v>1300</v>
      </c>
      <c r="Q20" s="160" t="s">
        <v>881</v>
      </c>
      <c r="R20" s="186" t="s">
        <v>32</v>
      </c>
      <c r="S20" s="203">
        <v>1480</v>
      </c>
      <c r="T20" s="160" t="s">
        <v>881</v>
      </c>
      <c r="U20" s="186" t="s">
        <v>30</v>
      </c>
      <c r="W20" s="17"/>
    </row>
    <row r="21" spans="1:23" s="19" customFormat="1" ht="12.6" customHeight="1">
      <c r="A21" s="213" t="s">
        <v>38</v>
      </c>
      <c r="B21" s="161" t="s">
        <v>426</v>
      </c>
      <c r="C21" s="142" t="s">
        <v>64</v>
      </c>
      <c r="D21" s="142">
        <v>2.8</v>
      </c>
      <c r="E21" s="142" t="s">
        <v>65</v>
      </c>
      <c r="F21" s="214" t="s">
        <v>39</v>
      </c>
      <c r="G21" s="215">
        <v>1.2</v>
      </c>
      <c r="H21" s="216">
        <v>1.49</v>
      </c>
      <c r="I21" s="141">
        <v>199</v>
      </c>
      <c r="J21" s="141">
        <v>88.8</v>
      </c>
      <c r="K21" s="142">
        <v>77</v>
      </c>
      <c r="L21" s="203">
        <f>AVERAGE(1431,1400,1425,1475,1425,1452,1426,1549,1500,1351)</f>
        <v>1443.4</v>
      </c>
      <c r="M21" s="160" t="s">
        <v>1092</v>
      </c>
      <c r="N21" s="203">
        <f>AVERAGE(1600,1600,1550,1556,1625,1625,1740,1729,1660,1700,1625,1628,1636)</f>
        <v>1636.4615384615386</v>
      </c>
      <c r="O21" s="160" t="s">
        <v>1092</v>
      </c>
      <c r="P21" s="203">
        <v>1700</v>
      </c>
      <c r="Q21" s="160" t="s">
        <v>881</v>
      </c>
      <c r="R21" s="186" t="s">
        <v>757</v>
      </c>
      <c r="S21" s="203">
        <v>1900</v>
      </c>
      <c r="T21" s="160" t="s">
        <v>881</v>
      </c>
      <c r="U21" s="186" t="s">
        <v>30</v>
      </c>
      <c r="W21" s="17"/>
    </row>
    <row r="22" spans="1:23" s="19" customFormat="1" ht="12.6" customHeight="1">
      <c r="A22" s="213" t="s">
        <v>38</v>
      </c>
      <c r="B22" s="161" t="s">
        <v>555</v>
      </c>
      <c r="C22" s="142" t="s">
        <v>64</v>
      </c>
      <c r="D22" s="142">
        <v>4</v>
      </c>
      <c r="E22" s="142" t="s">
        <v>65</v>
      </c>
      <c r="F22" s="214" t="s">
        <v>39</v>
      </c>
      <c r="G22" s="215">
        <v>1.19</v>
      </c>
      <c r="H22" s="216">
        <v>0.71</v>
      </c>
      <c r="I22" s="141">
        <v>173</v>
      </c>
      <c r="J22" s="141">
        <v>77</v>
      </c>
      <c r="K22" s="142">
        <v>67</v>
      </c>
      <c r="L22" s="203">
        <f>AVERAGE(385,391,405,395,396,395,393,384,440,388)</f>
        <v>397.2</v>
      </c>
      <c r="M22" s="160" t="s">
        <v>1092</v>
      </c>
      <c r="N22" s="203">
        <f>AVERAGE(455,505,480,490,504,490,475,467,480)</f>
        <v>482.88888888888891</v>
      </c>
      <c r="O22" s="160" t="s">
        <v>1092</v>
      </c>
      <c r="P22" s="203">
        <v>470</v>
      </c>
      <c r="Q22" s="160" t="s">
        <v>881</v>
      </c>
      <c r="R22" s="186" t="s">
        <v>30</v>
      </c>
      <c r="S22" s="203">
        <v>695</v>
      </c>
      <c r="T22" s="160" t="s">
        <v>862</v>
      </c>
      <c r="U22" s="186" t="s">
        <v>28</v>
      </c>
      <c r="W22" s="17"/>
    </row>
    <row r="23" spans="1:23" s="19" customFormat="1" ht="12.6" customHeight="1">
      <c r="A23" s="213" t="s">
        <v>38</v>
      </c>
      <c r="B23" s="161" t="s">
        <v>694</v>
      </c>
      <c r="C23" s="142" t="s">
        <v>64</v>
      </c>
      <c r="D23" s="142">
        <v>4</v>
      </c>
      <c r="E23" s="142" t="s">
        <v>65</v>
      </c>
      <c r="F23" s="214" t="s">
        <v>39</v>
      </c>
      <c r="G23" s="215">
        <v>1.2</v>
      </c>
      <c r="H23" s="216">
        <v>0.76</v>
      </c>
      <c r="I23" s="141">
        <v>172</v>
      </c>
      <c r="J23" s="141">
        <v>76</v>
      </c>
      <c r="K23" s="142">
        <v>67</v>
      </c>
      <c r="L23" s="203">
        <f>AVERAGE(670,641,720,621,769,735,665,645,650,686)</f>
        <v>680.2</v>
      </c>
      <c r="M23" s="160" t="s">
        <v>1092</v>
      </c>
      <c r="N23" s="203">
        <f>AVERAGE(823,825,810,839,850,812,846,849,909)</f>
        <v>840.33333333333337</v>
      </c>
      <c r="O23" s="160" t="s">
        <v>1092</v>
      </c>
      <c r="P23" s="203">
        <f>899*CA.US</f>
        <v>683.24</v>
      </c>
      <c r="Q23" s="160" t="s">
        <v>1001</v>
      </c>
      <c r="R23" s="186" t="s">
        <v>623</v>
      </c>
      <c r="S23" s="203">
        <v>695</v>
      </c>
      <c r="T23" s="160" t="s">
        <v>881</v>
      </c>
      <c r="U23" s="186" t="s">
        <v>28</v>
      </c>
      <c r="W23" s="17"/>
    </row>
    <row r="24" spans="1:23" s="19" customFormat="1" ht="12.6" customHeight="1">
      <c r="A24" s="213" t="s">
        <v>38</v>
      </c>
      <c r="B24" s="161" t="s">
        <v>902</v>
      </c>
      <c r="C24" s="142" t="s">
        <v>66</v>
      </c>
      <c r="D24" s="142">
        <v>2.8</v>
      </c>
      <c r="E24" s="142" t="s">
        <v>67</v>
      </c>
      <c r="F24" s="214" t="s">
        <v>39</v>
      </c>
      <c r="G24" s="215" t="s">
        <v>68</v>
      </c>
      <c r="H24" s="216">
        <v>1.33</v>
      </c>
      <c r="I24" s="141">
        <v>186</v>
      </c>
      <c r="J24" s="141">
        <v>84</v>
      </c>
      <c r="K24" s="142">
        <v>72</v>
      </c>
      <c r="L24" s="203">
        <f>AVERAGE(545,449,498,460,485,528,575,595,520,562,575)</f>
        <v>526.5454545454545</v>
      </c>
      <c r="M24" s="160" t="s">
        <v>1092</v>
      </c>
      <c r="N24" s="203">
        <f>AVERAGE(639,640,670,577,598,590,670,689,755,710)</f>
        <v>653.79999999999995</v>
      </c>
      <c r="O24" s="160" t="s">
        <v>1008</v>
      </c>
      <c r="P24" s="203">
        <v>822</v>
      </c>
      <c r="Q24" s="160" t="s">
        <v>881</v>
      </c>
      <c r="R24" s="186" t="s">
        <v>30</v>
      </c>
      <c r="S24" s="203" t="s">
        <v>16</v>
      </c>
      <c r="T24" s="160" t="s">
        <v>16</v>
      </c>
      <c r="U24" s="186" t="s">
        <v>16</v>
      </c>
      <c r="W24" s="17"/>
    </row>
    <row r="25" spans="1:23" s="19" customFormat="1" ht="12.6" customHeight="1">
      <c r="A25" s="205" t="s">
        <v>38</v>
      </c>
      <c r="B25" s="193" t="s">
        <v>476</v>
      </c>
      <c r="C25" s="211" t="s">
        <v>114</v>
      </c>
      <c r="D25" s="211" t="s">
        <v>475</v>
      </c>
      <c r="E25" s="211" t="s">
        <v>177</v>
      </c>
      <c r="F25" s="212" t="s">
        <v>39</v>
      </c>
      <c r="G25" s="195">
        <v>2</v>
      </c>
      <c r="H25" s="176">
        <v>3.62</v>
      </c>
      <c r="I25" s="172">
        <v>366</v>
      </c>
      <c r="J25" s="172">
        <v>128</v>
      </c>
      <c r="K25" s="211" t="s">
        <v>667</v>
      </c>
      <c r="L25" s="203">
        <f>AVERAGE(7087,7878,7600)</f>
        <v>7521.666666666667</v>
      </c>
      <c r="M25" s="206" t="s">
        <v>852</v>
      </c>
      <c r="N25" s="281">
        <f>AVERAGE(8100,8000)</f>
        <v>8050</v>
      </c>
      <c r="O25" s="206" t="s">
        <v>1008</v>
      </c>
      <c r="P25" s="197">
        <v>9010</v>
      </c>
      <c r="Q25" s="206" t="s">
        <v>881</v>
      </c>
      <c r="R25" s="188" t="s">
        <v>757</v>
      </c>
      <c r="S25" s="197">
        <v>9500</v>
      </c>
      <c r="T25" s="206" t="s">
        <v>821</v>
      </c>
      <c r="U25" s="188" t="s">
        <v>32</v>
      </c>
      <c r="W25" s="17"/>
    </row>
    <row r="26" spans="1:23" ht="6" customHeight="1">
      <c r="A26" s="284" t="s">
        <v>16</v>
      </c>
      <c r="B26" s="244" t="s">
        <v>16</v>
      </c>
      <c r="C26" s="245" t="s">
        <v>16</v>
      </c>
      <c r="D26" s="245" t="s">
        <v>16</v>
      </c>
      <c r="E26" s="245" t="s">
        <v>16</v>
      </c>
      <c r="F26" s="245" t="s">
        <v>16</v>
      </c>
      <c r="G26" s="247" t="s">
        <v>16</v>
      </c>
      <c r="H26" s="248" t="s">
        <v>16</v>
      </c>
      <c r="I26" s="179" t="s">
        <v>16</v>
      </c>
      <c r="J26" s="179" t="s">
        <v>16</v>
      </c>
      <c r="K26" s="245" t="s">
        <v>16</v>
      </c>
      <c r="L26" s="179" t="s">
        <v>16</v>
      </c>
      <c r="M26" s="246" t="s">
        <v>16</v>
      </c>
      <c r="N26" s="179" t="s">
        <v>16</v>
      </c>
      <c r="O26" s="246" t="s">
        <v>16</v>
      </c>
      <c r="P26" s="179" t="s">
        <v>16</v>
      </c>
      <c r="Q26" s="246" t="s">
        <v>16</v>
      </c>
      <c r="R26" s="179" t="s">
        <v>16</v>
      </c>
      <c r="S26" s="179" t="s">
        <v>16</v>
      </c>
      <c r="T26" s="246" t="s">
        <v>16</v>
      </c>
      <c r="U26" s="179" t="s">
        <v>16</v>
      </c>
    </row>
    <row r="27" spans="1:23" s="19" customFormat="1" ht="12.6" customHeight="1">
      <c r="A27" s="213" t="s">
        <v>38</v>
      </c>
      <c r="B27" s="285" t="s">
        <v>433</v>
      </c>
      <c r="C27" s="160" t="s">
        <v>434</v>
      </c>
      <c r="D27" s="142">
        <v>4</v>
      </c>
      <c r="E27" s="160" t="s">
        <v>437</v>
      </c>
      <c r="F27" s="214" t="s">
        <v>39</v>
      </c>
      <c r="G27" s="215">
        <v>0.15</v>
      </c>
      <c r="H27" s="216">
        <v>0.54</v>
      </c>
      <c r="I27" s="141">
        <v>83</v>
      </c>
      <c r="J27" s="141">
        <v>79</v>
      </c>
      <c r="K27" s="142" t="s">
        <v>31</v>
      </c>
      <c r="L27" s="203">
        <f>AVERAGE(773,810,740,880,828,840,810,801,860)</f>
        <v>815.77777777777783</v>
      </c>
      <c r="M27" s="160" t="s">
        <v>1092</v>
      </c>
      <c r="N27" s="203">
        <f>AVERAGE(933,950,930,875,949,995,925,960,981)</f>
        <v>944.22222222222217</v>
      </c>
      <c r="O27" s="160" t="s">
        <v>1092</v>
      </c>
      <c r="P27" s="203">
        <v>810</v>
      </c>
      <c r="Q27" s="160" t="s">
        <v>881</v>
      </c>
      <c r="R27" s="186" t="s">
        <v>757</v>
      </c>
      <c r="S27" s="203">
        <f>1250*CA.US</f>
        <v>950</v>
      </c>
      <c r="T27" s="160" t="s">
        <v>1092</v>
      </c>
      <c r="U27" s="186" t="s">
        <v>1083</v>
      </c>
      <c r="W27" s="17"/>
    </row>
    <row r="28" spans="1:23" s="19" customFormat="1" ht="12.6" customHeight="1">
      <c r="A28" s="213" t="s">
        <v>38</v>
      </c>
      <c r="B28" s="161" t="s">
        <v>883</v>
      </c>
      <c r="C28" s="142" t="s">
        <v>69</v>
      </c>
      <c r="D28" s="142" t="s">
        <v>70</v>
      </c>
      <c r="E28" s="142" t="s">
        <v>71</v>
      </c>
      <c r="F28" s="214" t="s">
        <v>39</v>
      </c>
      <c r="G28" s="215">
        <v>0.7</v>
      </c>
      <c r="H28" s="216">
        <v>1.67</v>
      </c>
      <c r="I28" s="141">
        <v>184</v>
      </c>
      <c r="J28" s="141">
        <v>92</v>
      </c>
      <c r="K28" s="142">
        <v>77</v>
      </c>
      <c r="L28" s="203">
        <f>AVERAGE(1426,1200,1275,1236,1334,1523,1410,1361,1550,1450)</f>
        <v>1376.5</v>
      </c>
      <c r="M28" s="160" t="s">
        <v>1092</v>
      </c>
      <c r="N28" s="203">
        <f>AVERAGE(1555,1493,1550,1748,1649,1842,1800)</f>
        <v>1662.4285714285713</v>
      </c>
      <c r="O28" s="160" t="s">
        <v>1092</v>
      </c>
      <c r="P28" s="203">
        <v>1650</v>
      </c>
      <c r="Q28" s="160" t="s">
        <v>881</v>
      </c>
      <c r="R28" s="186" t="s">
        <v>757</v>
      </c>
      <c r="S28" s="203">
        <v>2000</v>
      </c>
      <c r="T28" s="160" t="s">
        <v>881</v>
      </c>
      <c r="U28" s="186" t="s">
        <v>32</v>
      </c>
      <c r="W28" s="17"/>
    </row>
    <row r="29" spans="1:23" s="19" customFormat="1" ht="12.6" customHeight="1">
      <c r="A29" s="213" t="s">
        <v>38</v>
      </c>
      <c r="B29" s="161" t="s">
        <v>889</v>
      </c>
      <c r="C29" s="142" t="s">
        <v>72</v>
      </c>
      <c r="D29" s="142" t="s">
        <v>70</v>
      </c>
      <c r="E29" s="142" t="s">
        <v>73</v>
      </c>
      <c r="F29" s="214" t="s">
        <v>39</v>
      </c>
      <c r="G29" s="215">
        <v>0.6</v>
      </c>
      <c r="H29" s="216">
        <v>1.385</v>
      </c>
      <c r="I29" s="141">
        <v>167.4</v>
      </c>
      <c r="J29" s="141">
        <v>85</v>
      </c>
      <c r="K29" s="142">
        <v>72</v>
      </c>
      <c r="L29" s="203">
        <f>AVERAGE(668,750,650,884,725,690,750,717,800,798,729)</f>
        <v>741.90909090909088</v>
      </c>
      <c r="M29" s="280" t="s">
        <v>1092</v>
      </c>
      <c r="N29" s="156">
        <f>AVERAGE(878,868,870,976,1150,1156,1000,1085,1050,1089)</f>
        <v>1012.2</v>
      </c>
      <c r="O29" s="280" t="s">
        <v>881</v>
      </c>
      <c r="P29" s="203">
        <v>1120</v>
      </c>
      <c r="Q29" s="160" t="s">
        <v>881</v>
      </c>
      <c r="R29" s="186" t="s">
        <v>30</v>
      </c>
      <c r="S29" s="203">
        <v>1245</v>
      </c>
      <c r="T29" s="160" t="s">
        <v>593</v>
      </c>
      <c r="U29" s="186" t="s">
        <v>28</v>
      </c>
      <c r="W29" s="17"/>
    </row>
    <row r="30" spans="1:23" s="19" customFormat="1" ht="12.6" customHeight="1">
      <c r="A30" s="213" t="s">
        <v>38</v>
      </c>
      <c r="B30" s="161" t="s">
        <v>903</v>
      </c>
      <c r="C30" s="142" t="s">
        <v>74</v>
      </c>
      <c r="D30" s="142" t="s">
        <v>75</v>
      </c>
      <c r="E30" s="142" t="s">
        <v>76</v>
      </c>
      <c r="F30" s="214" t="s">
        <v>39</v>
      </c>
      <c r="G30" s="215">
        <v>1.2</v>
      </c>
      <c r="H30" s="216">
        <v>0.69499999999999995</v>
      </c>
      <c r="I30" s="141">
        <v>145.80000000000001</v>
      </c>
      <c r="J30" s="141">
        <v>75.599999999999994</v>
      </c>
      <c r="K30" s="142">
        <v>58</v>
      </c>
      <c r="L30" s="203">
        <f>AVERAGE(332,317,315,368,398,329,350,389)</f>
        <v>349.75</v>
      </c>
      <c r="M30" s="160" t="s">
        <v>1001</v>
      </c>
      <c r="N30" s="203">
        <f>AVERAGE(410,425,412,525,606,545,534)</f>
        <v>493.85714285714283</v>
      </c>
      <c r="O30" s="160" t="s">
        <v>723</v>
      </c>
      <c r="P30" s="203">
        <v>484</v>
      </c>
      <c r="Q30" s="160" t="s">
        <v>279</v>
      </c>
      <c r="R30" s="186" t="s">
        <v>30</v>
      </c>
      <c r="S30" s="203">
        <v>500</v>
      </c>
      <c r="T30" s="160" t="s">
        <v>279</v>
      </c>
      <c r="U30" s="186" t="s">
        <v>30</v>
      </c>
      <c r="W30" s="17"/>
    </row>
    <row r="31" spans="1:23" s="19" customFormat="1" ht="12.6" customHeight="1">
      <c r="A31" s="213" t="s">
        <v>38</v>
      </c>
      <c r="B31" s="161" t="s">
        <v>432</v>
      </c>
      <c r="C31" s="142" t="s">
        <v>85</v>
      </c>
      <c r="D31" s="142" t="s">
        <v>86</v>
      </c>
      <c r="E31" s="142" t="s">
        <v>87</v>
      </c>
      <c r="F31" s="214" t="s">
        <v>39</v>
      </c>
      <c r="G31" s="215">
        <v>1.2</v>
      </c>
      <c r="H31" s="216">
        <v>1.05</v>
      </c>
      <c r="I31" s="141">
        <v>143</v>
      </c>
      <c r="J31" s="141">
        <v>89</v>
      </c>
      <c r="K31" s="142">
        <v>67</v>
      </c>
      <c r="L31" s="203">
        <f>AVERAGE(745,726,872,700,750,732,752,773,718,850,849)</f>
        <v>769.72727272727275</v>
      </c>
      <c r="M31" s="160" t="s">
        <v>1008</v>
      </c>
      <c r="N31" s="203">
        <f>AVERAGE(911,975,920,950,1000,939,969,950,910)</f>
        <v>947.11111111111109</v>
      </c>
      <c r="O31" s="160" t="s">
        <v>1092</v>
      </c>
      <c r="P31" s="203">
        <v>930</v>
      </c>
      <c r="Q31" s="160" t="s">
        <v>881</v>
      </c>
      <c r="R31" s="186" t="s">
        <v>757</v>
      </c>
      <c r="S31" s="203">
        <v>1080</v>
      </c>
      <c r="T31" s="160" t="s">
        <v>881</v>
      </c>
      <c r="U31" s="186" t="s">
        <v>30</v>
      </c>
      <c r="W31" s="17"/>
    </row>
    <row r="32" spans="1:23" s="19" customFormat="1" ht="12.6" customHeight="1">
      <c r="A32" s="213" t="s">
        <v>38</v>
      </c>
      <c r="B32" s="161" t="s">
        <v>904</v>
      </c>
      <c r="C32" s="142" t="s">
        <v>77</v>
      </c>
      <c r="D32" s="142">
        <v>5.6</v>
      </c>
      <c r="E32" s="142" t="s">
        <v>78</v>
      </c>
      <c r="F32" s="214" t="s">
        <v>39</v>
      </c>
      <c r="G32" s="215">
        <v>1.5</v>
      </c>
      <c r="H32" s="216">
        <v>0.69499999999999995</v>
      </c>
      <c r="I32" s="141">
        <v>166.6</v>
      </c>
      <c r="J32" s="141">
        <v>75</v>
      </c>
      <c r="K32" s="142">
        <v>58</v>
      </c>
      <c r="L32" s="203">
        <f>AVERAGE(208,200,220,212,229,209,186,189,156,224,233,229,218)</f>
        <v>208.69230769230768</v>
      </c>
      <c r="M32" s="160" t="s">
        <v>1092</v>
      </c>
      <c r="N32" s="203">
        <f>AVERAGE(250,250,298,335,325,298,306,339)</f>
        <v>300.125</v>
      </c>
      <c r="O32" s="160" t="s">
        <v>1008</v>
      </c>
      <c r="P32" s="203">
        <f>329*CA.US</f>
        <v>250.04</v>
      </c>
      <c r="Q32" s="160" t="s">
        <v>821</v>
      </c>
      <c r="R32" s="186" t="s">
        <v>623</v>
      </c>
      <c r="S32" s="203">
        <v>400</v>
      </c>
      <c r="T32" s="160" t="s">
        <v>881</v>
      </c>
      <c r="U32" s="186" t="s">
        <v>32</v>
      </c>
      <c r="W32" s="17"/>
    </row>
    <row r="33" spans="1:23" s="19" customFormat="1" ht="12.6" customHeight="1">
      <c r="A33" s="213" t="s">
        <v>38</v>
      </c>
      <c r="B33" s="161" t="s">
        <v>884</v>
      </c>
      <c r="C33" s="142" t="s">
        <v>79</v>
      </c>
      <c r="D33" s="142" t="s">
        <v>80</v>
      </c>
      <c r="E33" s="142" t="s">
        <v>81</v>
      </c>
      <c r="F33" s="214" t="s">
        <v>39</v>
      </c>
      <c r="G33" s="215">
        <v>1.8</v>
      </c>
      <c r="H33" s="216">
        <v>1.38</v>
      </c>
      <c r="I33" s="141">
        <v>189</v>
      </c>
      <c r="J33" s="141">
        <v>92</v>
      </c>
      <c r="K33" s="142">
        <v>77</v>
      </c>
      <c r="L33" s="203">
        <f>AVERAGE(725,720,716,750,667,777,715,705,762,759)</f>
        <v>729.6</v>
      </c>
      <c r="M33" s="160" t="s">
        <v>1092</v>
      </c>
      <c r="N33" s="203">
        <f>AVERAGE(935,925,900,992,915,905,852,873,850,871,870)</f>
        <v>898.90909090909088</v>
      </c>
      <c r="O33" s="160" t="s">
        <v>1092</v>
      </c>
      <c r="P33" s="203">
        <v>850</v>
      </c>
      <c r="Q33" s="160" t="s">
        <v>881</v>
      </c>
      <c r="R33" s="186" t="s">
        <v>33</v>
      </c>
      <c r="S33" s="203">
        <v>995</v>
      </c>
      <c r="T33" s="160" t="s">
        <v>881</v>
      </c>
      <c r="U33" s="186" t="s">
        <v>28</v>
      </c>
      <c r="W33" s="17"/>
    </row>
    <row r="34" spans="1:23" s="19" customFormat="1" ht="12.6" customHeight="1">
      <c r="A34" s="205" t="s">
        <v>38</v>
      </c>
      <c r="B34" s="193" t="s">
        <v>885</v>
      </c>
      <c r="C34" s="211" t="s">
        <v>79</v>
      </c>
      <c r="D34" s="211" t="s">
        <v>80</v>
      </c>
      <c r="E34" s="211" t="s">
        <v>81</v>
      </c>
      <c r="F34" s="212" t="s">
        <v>39</v>
      </c>
      <c r="G34" s="195">
        <v>0.98</v>
      </c>
      <c r="H34" s="176">
        <v>1.57</v>
      </c>
      <c r="I34" s="172">
        <v>193</v>
      </c>
      <c r="J34" s="172">
        <v>94</v>
      </c>
      <c r="K34" s="211">
        <v>77</v>
      </c>
      <c r="L34" s="197">
        <f>AVERAGE(1699,1670,1726,1725)</f>
        <v>1705</v>
      </c>
      <c r="M34" s="172" t="s">
        <v>1092</v>
      </c>
      <c r="N34" s="197">
        <f>AVERAGE(1800,1875,1800,1840,1820,1920,1907,1949)</f>
        <v>1863.875</v>
      </c>
      <c r="O34" s="206" t="s">
        <v>1008</v>
      </c>
      <c r="P34" s="197" t="s">
        <v>16</v>
      </c>
      <c r="Q34" s="206" t="s">
        <v>16</v>
      </c>
      <c r="R34" s="188" t="s">
        <v>16</v>
      </c>
      <c r="S34" s="286">
        <v>2200</v>
      </c>
      <c r="T34" s="206" t="s">
        <v>821</v>
      </c>
      <c r="U34" s="188" t="s">
        <v>32</v>
      </c>
      <c r="W34" s="17"/>
    </row>
    <row r="35" spans="1:23" ht="6" customHeight="1">
      <c r="A35" s="284" t="s">
        <v>16</v>
      </c>
      <c r="B35" s="244" t="s">
        <v>16</v>
      </c>
      <c r="C35" s="245" t="s">
        <v>16</v>
      </c>
      <c r="D35" s="245" t="s">
        <v>16</v>
      </c>
      <c r="E35" s="245" t="s">
        <v>16</v>
      </c>
      <c r="F35" s="245" t="s">
        <v>16</v>
      </c>
      <c r="G35" s="247" t="s">
        <v>16</v>
      </c>
      <c r="H35" s="248" t="s">
        <v>16</v>
      </c>
      <c r="I35" s="179" t="s">
        <v>16</v>
      </c>
      <c r="J35" s="179" t="s">
        <v>16</v>
      </c>
      <c r="K35" s="245" t="s">
        <v>16</v>
      </c>
      <c r="L35" s="179" t="s">
        <v>16</v>
      </c>
      <c r="M35" s="246" t="s">
        <v>16</v>
      </c>
      <c r="N35" s="179" t="s">
        <v>16</v>
      </c>
      <c r="O35" s="246" t="s">
        <v>16</v>
      </c>
      <c r="P35" s="179" t="s">
        <v>16</v>
      </c>
      <c r="Q35" s="246" t="s">
        <v>16</v>
      </c>
      <c r="R35" s="179" t="s">
        <v>16</v>
      </c>
      <c r="S35" s="179" t="s">
        <v>16</v>
      </c>
      <c r="T35" s="246" t="s">
        <v>16</v>
      </c>
      <c r="U35" s="179" t="s">
        <v>16</v>
      </c>
    </row>
    <row r="36" spans="1:23" s="19" customFormat="1" ht="12.6" customHeight="1">
      <c r="A36" s="213" t="s">
        <v>38</v>
      </c>
      <c r="B36" s="161" t="s">
        <v>886</v>
      </c>
      <c r="C36" s="142" t="s">
        <v>439</v>
      </c>
      <c r="D36" s="142" t="s">
        <v>70</v>
      </c>
      <c r="E36" s="142" t="s">
        <v>440</v>
      </c>
      <c r="F36" s="214" t="s">
        <v>39</v>
      </c>
      <c r="G36" s="215">
        <v>0.5</v>
      </c>
      <c r="H36" s="216">
        <v>0.54</v>
      </c>
      <c r="I36" s="141">
        <v>96.8</v>
      </c>
      <c r="J36" s="141">
        <v>78.400000000000006</v>
      </c>
      <c r="K36" s="142">
        <v>72</v>
      </c>
      <c r="L36" s="203">
        <f>AVERAGE(125,124,135,132,123,112,114,145,122)</f>
        <v>125.77777777777777</v>
      </c>
      <c r="M36" s="160" t="s">
        <v>1092</v>
      </c>
      <c r="N36" s="203">
        <f>AVERAGE(150,178,160,160,164,167,169,175,219)</f>
        <v>171.33333333333334</v>
      </c>
      <c r="O36" s="160" t="s">
        <v>1092</v>
      </c>
      <c r="P36" s="203">
        <v>170</v>
      </c>
      <c r="Q36" s="160" t="s">
        <v>881</v>
      </c>
      <c r="R36" s="186" t="s">
        <v>30</v>
      </c>
      <c r="S36" s="203">
        <f>350*CA.US</f>
        <v>266</v>
      </c>
      <c r="T36" s="160" t="s">
        <v>1092</v>
      </c>
      <c r="U36" s="186" t="s">
        <v>1083</v>
      </c>
      <c r="W36" s="17"/>
    </row>
    <row r="37" spans="1:23" s="19" customFormat="1" ht="12.6" customHeight="1">
      <c r="A37" s="213" t="s">
        <v>38</v>
      </c>
      <c r="B37" s="161" t="s">
        <v>84</v>
      </c>
      <c r="C37" s="142" t="s">
        <v>85</v>
      </c>
      <c r="D37" s="142" t="s">
        <v>86</v>
      </c>
      <c r="E37" s="142" t="s">
        <v>87</v>
      </c>
      <c r="F37" s="214" t="s">
        <v>39</v>
      </c>
      <c r="G37" s="215">
        <v>1.5</v>
      </c>
      <c r="H37" s="216">
        <v>0.63</v>
      </c>
      <c r="I37" s="141">
        <v>143</v>
      </c>
      <c r="J37" s="141">
        <v>76</v>
      </c>
      <c r="K37" s="142">
        <v>58</v>
      </c>
      <c r="L37" s="203">
        <f>AVERAGE(208,207,200,235,228,233,229,219,200)</f>
        <v>217.66666666666666</v>
      </c>
      <c r="M37" s="160" t="s">
        <v>1092</v>
      </c>
      <c r="N37" s="203">
        <f>AVERAGE(335,218,255,290,250,285,280,265)</f>
        <v>272.25</v>
      </c>
      <c r="O37" s="160" t="s">
        <v>1092</v>
      </c>
      <c r="P37" s="203">
        <v>270</v>
      </c>
      <c r="Q37" s="160" t="s">
        <v>881</v>
      </c>
      <c r="R37" s="186" t="s">
        <v>33</v>
      </c>
      <c r="S37" s="203">
        <f>450*CA.US</f>
        <v>342</v>
      </c>
      <c r="T37" s="160" t="s">
        <v>1092</v>
      </c>
      <c r="U37" s="186" t="s">
        <v>1083</v>
      </c>
      <c r="W37" s="17"/>
    </row>
    <row r="38" spans="1:23" s="19" customFormat="1" ht="12.6" customHeight="1">
      <c r="A38" s="205" t="s">
        <v>38</v>
      </c>
      <c r="B38" s="193" t="s">
        <v>88</v>
      </c>
      <c r="C38" s="211" t="s">
        <v>85</v>
      </c>
      <c r="D38" s="211" t="s">
        <v>80</v>
      </c>
      <c r="E38" s="211" t="s">
        <v>87</v>
      </c>
      <c r="F38" s="212" t="s">
        <v>39</v>
      </c>
      <c r="G38" s="195">
        <v>1.4</v>
      </c>
      <c r="H38" s="176">
        <v>0.72</v>
      </c>
      <c r="I38" s="172">
        <v>99.9</v>
      </c>
      <c r="J38" s="172">
        <v>82.4</v>
      </c>
      <c r="K38" s="211">
        <v>58</v>
      </c>
      <c r="L38" s="197">
        <f>AVERAGE(380,371,411,400,402,400,300,360,349)</f>
        <v>374.77777777777777</v>
      </c>
      <c r="M38" s="206" t="s">
        <v>1092</v>
      </c>
      <c r="N38" s="197">
        <f>AVERAGE(440,440,499,437,528,450,485,500)</f>
        <v>472.375</v>
      </c>
      <c r="O38" s="206" t="s">
        <v>1008</v>
      </c>
      <c r="P38" s="197">
        <v>525</v>
      </c>
      <c r="Q38" s="206" t="s">
        <v>881</v>
      </c>
      <c r="R38" s="188" t="s">
        <v>33</v>
      </c>
      <c r="S38" s="197">
        <v>600</v>
      </c>
      <c r="T38" s="206" t="s">
        <v>881</v>
      </c>
      <c r="U38" s="188" t="s">
        <v>32</v>
      </c>
      <c r="W38" s="17"/>
    </row>
    <row r="39" spans="1:23" ht="6" customHeight="1">
      <c r="A39" s="284" t="s">
        <v>16</v>
      </c>
      <c r="B39" s="244" t="s">
        <v>16</v>
      </c>
      <c r="C39" s="245" t="s">
        <v>16</v>
      </c>
      <c r="D39" s="245" t="s">
        <v>16</v>
      </c>
      <c r="E39" s="245" t="s">
        <v>16</v>
      </c>
      <c r="F39" s="245" t="s">
        <v>16</v>
      </c>
      <c r="G39" s="247" t="s">
        <v>16</v>
      </c>
      <c r="H39" s="248" t="s">
        <v>16</v>
      </c>
      <c r="I39" s="179" t="s">
        <v>16</v>
      </c>
      <c r="J39" s="179" t="s">
        <v>16</v>
      </c>
      <c r="K39" s="245" t="s">
        <v>16</v>
      </c>
      <c r="L39" s="179" t="s">
        <v>16</v>
      </c>
      <c r="M39" s="246" t="s">
        <v>16</v>
      </c>
      <c r="N39" s="179" t="s">
        <v>16</v>
      </c>
      <c r="O39" s="246" t="s">
        <v>16</v>
      </c>
      <c r="P39" s="179" t="s">
        <v>16</v>
      </c>
      <c r="Q39" s="246" t="s">
        <v>16</v>
      </c>
      <c r="R39" s="179" t="s">
        <v>16</v>
      </c>
      <c r="S39" s="179" t="s">
        <v>16</v>
      </c>
      <c r="T39" s="246" t="s">
        <v>16</v>
      </c>
      <c r="U39" s="179" t="s">
        <v>16</v>
      </c>
    </row>
    <row r="40" spans="1:23" s="19" customFormat="1" ht="12.6" customHeight="1">
      <c r="A40" s="213" t="s">
        <v>38</v>
      </c>
      <c r="B40" s="285" t="s">
        <v>746</v>
      </c>
      <c r="C40" s="160" t="s">
        <v>747</v>
      </c>
      <c r="D40" s="142" t="s">
        <v>80</v>
      </c>
      <c r="E40" s="160" t="s">
        <v>451</v>
      </c>
      <c r="F40" s="214" t="s">
        <v>83</v>
      </c>
      <c r="G40" s="215">
        <v>0.22</v>
      </c>
      <c r="H40" s="216">
        <v>0.24</v>
      </c>
      <c r="I40" s="141">
        <v>72</v>
      </c>
      <c r="J40" s="141">
        <v>74.599999999999994</v>
      </c>
      <c r="K40" s="142">
        <v>67</v>
      </c>
      <c r="L40" s="203">
        <f>AVERAGE(220,225,205,233,223,213,221,230)</f>
        <v>221.25</v>
      </c>
      <c r="M40" s="160" t="s">
        <v>1092</v>
      </c>
      <c r="N40" s="203">
        <f>AVERAGE(275,245,250,278,315,360,250,274)</f>
        <v>280.875</v>
      </c>
      <c r="O40" s="160" t="s">
        <v>1092</v>
      </c>
      <c r="P40" s="203">
        <v>257</v>
      </c>
      <c r="Q40" s="160" t="s">
        <v>881</v>
      </c>
      <c r="R40" s="186" t="s">
        <v>30</v>
      </c>
      <c r="S40" s="203">
        <v>268</v>
      </c>
      <c r="T40" s="160" t="s">
        <v>881</v>
      </c>
      <c r="U40" s="186" t="s">
        <v>30</v>
      </c>
      <c r="W40" s="17"/>
    </row>
    <row r="41" spans="1:23" s="19" customFormat="1" ht="12.6" customHeight="1">
      <c r="A41" s="57" t="s">
        <v>38</v>
      </c>
      <c r="B41" s="43" t="s">
        <v>258</v>
      </c>
      <c r="C41" s="36" t="s">
        <v>82</v>
      </c>
      <c r="D41" s="18" t="s">
        <v>75</v>
      </c>
      <c r="E41" s="36" t="s">
        <v>47</v>
      </c>
      <c r="F41" s="66" t="s">
        <v>83</v>
      </c>
      <c r="G41" s="58">
        <v>0.24</v>
      </c>
      <c r="H41" s="53">
        <v>0.38500000000000001</v>
      </c>
      <c r="I41" s="16">
        <v>90</v>
      </c>
      <c r="J41" s="16">
        <v>83.5</v>
      </c>
      <c r="K41" s="18">
        <v>77</v>
      </c>
      <c r="L41" s="25">
        <f>AVERAGE(321,330,350,293,342,355,349,333,311,347)</f>
        <v>333.1</v>
      </c>
      <c r="M41" s="36" t="s">
        <v>1092</v>
      </c>
      <c r="N41" s="25">
        <f>AVERAGE(389,400,385,316,381,419,435,450,411,470,400)</f>
        <v>405.09090909090907</v>
      </c>
      <c r="O41" s="36" t="s">
        <v>1008</v>
      </c>
      <c r="P41" s="25">
        <v>313</v>
      </c>
      <c r="Q41" s="36" t="s">
        <v>881</v>
      </c>
      <c r="R41" s="31" t="s">
        <v>30</v>
      </c>
      <c r="S41" s="25">
        <v>340</v>
      </c>
      <c r="T41" s="36" t="s">
        <v>881</v>
      </c>
      <c r="U41" s="31" t="s">
        <v>30</v>
      </c>
      <c r="W41" s="17"/>
    </row>
    <row r="42" spans="1:23" s="19" customFormat="1" ht="12.6" customHeight="1">
      <c r="A42" s="143" t="s">
        <v>38</v>
      </c>
      <c r="B42" s="43" t="s">
        <v>329</v>
      </c>
      <c r="C42" s="36" t="s">
        <v>330</v>
      </c>
      <c r="D42" s="18" t="s">
        <v>70</v>
      </c>
      <c r="E42" s="36" t="s">
        <v>331</v>
      </c>
      <c r="F42" s="66" t="s">
        <v>83</v>
      </c>
      <c r="G42" s="58">
        <v>0.35</v>
      </c>
      <c r="H42" s="53">
        <v>0.57499999999999996</v>
      </c>
      <c r="I42" s="16">
        <v>88</v>
      </c>
      <c r="J42" s="16">
        <v>81.599999999999994</v>
      </c>
      <c r="K42" s="18">
        <v>72</v>
      </c>
      <c r="L42" s="25">
        <f>AVERAGE(233,320,307,337,339,346,325,302)</f>
        <v>313.625</v>
      </c>
      <c r="M42" s="36" t="s">
        <v>1092</v>
      </c>
      <c r="N42" s="25">
        <f>AVERAGE(465,420,450,410,400,428,398,375,380,410,495,450)</f>
        <v>423.41666666666669</v>
      </c>
      <c r="O42" s="36" t="s">
        <v>1092</v>
      </c>
      <c r="P42" s="25">
        <f>475*CA.US</f>
        <v>361</v>
      </c>
      <c r="Q42" s="36" t="s">
        <v>881</v>
      </c>
      <c r="R42" s="31" t="s">
        <v>623</v>
      </c>
      <c r="S42" s="25">
        <v>545</v>
      </c>
      <c r="T42" s="36" t="s">
        <v>881</v>
      </c>
      <c r="U42" s="31" t="s">
        <v>512</v>
      </c>
      <c r="W42" s="17"/>
    </row>
    <row r="43" spans="1:23" s="19" customFormat="1" ht="12.6" customHeight="1">
      <c r="A43" s="57" t="s">
        <v>38</v>
      </c>
      <c r="B43" s="43" t="s">
        <v>259</v>
      </c>
      <c r="C43" s="36" t="s">
        <v>166</v>
      </c>
      <c r="D43" s="18">
        <v>2.8</v>
      </c>
      <c r="E43" s="36" t="s">
        <v>167</v>
      </c>
      <c r="F43" s="66" t="s">
        <v>83</v>
      </c>
      <c r="G43" s="58">
        <v>0.35</v>
      </c>
      <c r="H43" s="53">
        <v>0.64500000000000002</v>
      </c>
      <c r="I43" s="16">
        <v>110</v>
      </c>
      <c r="J43" s="16">
        <v>84</v>
      </c>
      <c r="K43" s="18">
        <v>77</v>
      </c>
      <c r="L43" s="25">
        <f>AVERAGE(450,410,430,365,455,430,425,431,499,430)</f>
        <v>432.5</v>
      </c>
      <c r="M43" s="36" t="s">
        <v>1092</v>
      </c>
      <c r="N43" s="25">
        <f>AVERAGE(515,599,569,540,530,551,590,600,550,640,560,599,540)</f>
        <v>567.92307692307691</v>
      </c>
      <c r="O43" s="36" t="s">
        <v>1092</v>
      </c>
      <c r="P43" s="25">
        <v>572</v>
      </c>
      <c r="Q43" s="36" t="s">
        <v>881</v>
      </c>
      <c r="R43" s="31" t="s">
        <v>30</v>
      </c>
      <c r="S43" s="25">
        <f>795*CA.US</f>
        <v>604.20000000000005</v>
      </c>
      <c r="T43" s="36" t="s">
        <v>1092</v>
      </c>
      <c r="U43" s="31" t="s">
        <v>1083</v>
      </c>
      <c r="W43" s="17"/>
    </row>
    <row r="44" spans="1:23" s="19" customFormat="1" ht="12.6" customHeight="1">
      <c r="A44" s="143" t="s">
        <v>38</v>
      </c>
      <c r="B44" s="43" t="s">
        <v>766</v>
      </c>
      <c r="C44" s="36" t="s">
        <v>567</v>
      </c>
      <c r="D44" s="18" t="s">
        <v>70</v>
      </c>
      <c r="E44" s="36" t="s">
        <v>767</v>
      </c>
      <c r="F44" s="66" t="s">
        <v>83</v>
      </c>
      <c r="G44" s="58">
        <v>0.25</v>
      </c>
      <c r="H44" s="53">
        <v>0.20499999999999999</v>
      </c>
      <c r="I44" s="16">
        <v>75.2</v>
      </c>
      <c r="J44" s="16">
        <v>69</v>
      </c>
      <c r="K44" s="18">
        <v>52</v>
      </c>
      <c r="L44" s="25">
        <f>AVERAGE(78,78,85,79,75,85)</f>
        <v>80</v>
      </c>
      <c r="M44" s="36" t="s">
        <v>881</v>
      </c>
      <c r="N44" s="25">
        <f>AVERAGE(100,90,110,114,114)</f>
        <v>105.6</v>
      </c>
      <c r="O44" s="36" t="s">
        <v>881</v>
      </c>
      <c r="P44" s="25">
        <v>76</v>
      </c>
      <c r="Q44" s="36" t="s">
        <v>881</v>
      </c>
      <c r="R44" s="31" t="s">
        <v>30</v>
      </c>
      <c r="S44" s="25">
        <v>105</v>
      </c>
      <c r="T44" s="36" t="s">
        <v>881</v>
      </c>
      <c r="U44" s="31" t="s">
        <v>30</v>
      </c>
      <c r="W44" s="17"/>
    </row>
    <row r="45" spans="1:23" s="19" customFormat="1" ht="12.6" customHeight="1">
      <c r="A45" s="143" t="s">
        <v>38</v>
      </c>
      <c r="B45" s="43" t="s">
        <v>788</v>
      </c>
      <c r="C45" s="36" t="s">
        <v>724</v>
      </c>
      <c r="D45" s="18" t="s">
        <v>70</v>
      </c>
      <c r="E45" s="36" t="s">
        <v>789</v>
      </c>
      <c r="F45" s="66" t="s">
        <v>83</v>
      </c>
      <c r="G45" s="58">
        <v>0.39</v>
      </c>
      <c r="H45" s="53">
        <v>0.48</v>
      </c>
      <c r="I45" s="16">
        <v>96</v>
      </c>
      <c r="J45" s="16">
        <v>76.599999999999994</v>
      </c>
      <c r="K45" s="18">
        <v>67</v>
      </c>
      <c r="L45" s="25">
        <f>AVERAGE(136,143,128,154,141,123,148,175,153,162)</f>
        <v>146.30000000000001</v>
      </c>
      <c r="M45" s="36" t="s">
        <v>1092</v>
      </c>
      <c r="N45" s="25">
        <f>AVERAGE(206,190,200,219,169,220,234,235,223,250,249,203)</f>
        <v>216.5</v>
      </c>
      <c r="O45" s="36" t="s">
        <v>1092</v>
      </c>
      <c r="P45" s="25">
        <v>300</v>
      </c>
      <c r="Q45" s="36" t="s">
        <v>881</v>
      </c>
      <c r="R45" s="31" t="s">
        <v>30</v>
      </c>
      <c r="S45" s="25">
        <v>265</v>
      </c>
      <c r="T45" s="36" t="s">
        <v>881</v>
      </c>
      <c r="U45" s="31" t="s">
        <v>512</v>
      </c>
      <c r="W45" s="17"/>
    </row>
    <row r="46" spans="1:23" s="19" customFormat="1" ht="12.6" customHeight="1">
      <c r="A46" s="143" t="s">
        <v>38</v>
      </c>
      <c r="B46" s="43" t="s">
        <v>860</v>
      </c>
      <c r="C46" s="36" t="s">
        <v>57</v>
      </c>
      <c r="D46" s="18" t="s">
        <v>70</v>
      </c>
      <c r="E46" s="36" t="s">
        <v>58</v>
      </c>
      <c r="F46" s="66" t="s">
        <v>83</v>
      </c>
      <c r="G46" s="58">
        <v>0.4</v>
      </c>
      <c r="H46" s="53">
        <v>0.52500000000000002</v>
      </c>
      <c r="I46" s="16">
        <v>104</v>
      </c>
      <c r="J46" s="16">
        <v>83.4</v>
      </c>
      <c r="K46" s="18">
        <v>77</v>
      </c>
      <c r="L46" s="25">
        <f>AVERAGE(289,299)</f>
        <v>294</v>
      </c>
      <c r="M46" s="36" t="s">
        <v>881</v>
      </c>
      <c r="N46" s="25">
        <f>AVERAGE(355,338.345,400,385)</f>
        <v>369.58625000000001</v>
      </c>
      <c r="O46" s="36" t="s">
        <v>881</v>
      </c>
      <c r="P46" s="25">
        <v>500</v>
      </c>
      <c r="Q46" s="36" t="s">
        <v>881</v>
      </c>
      <c r="R46" s="31" t="s">
        <v>30</v>
      </c>
      <c r="S46" s="25">
        <v>500</v>
      </c>
      <c r="T46" s="36" t="s">
        <v>881</v>
      </c>
      <c r="U46" s="31" t="s">
        <v>33</v>
      </c>
      <c r="W46" s="17"/>
    </row>
    <row r="47" spans="1:23" s="19" customFormat="1" ht="12.6" customHeight="1">
      <c r="A47" s="144" t="s">
        <v>38</v>
      </c>
      <c r="B47" s="38" t="s">
        <v>785</v>
      </c>
      <c r="C47" s="41" t="s">
        <v>786</v>
      </c>
      <c r="D47" s="41" t="s">
        <v>86</v>
      </c>
      <c r="E47" s="41" t="s">
        <v>787</v>
      </c>
      <c r="F47" s="65" t="s">
        <v>83</v>
      </c>
      <c r="G47" s="55">
        <v>0.85</v>
      </c>
      <c r="H47" s="56">
        <v>0.375</v>
      </c>
      <c r="I47" s="27">
        <v>111.2</v>
      </c>
      <c r="J47" s="27">
        <v>70</v>
      </c>
      <c r="K47" s="41">
        <v>58</v>
      </c>
      <c r="L47" s="26">
        <f>AVERAGE(125,129,102,128,131,140,130,115)</f>
        <v>125</v>
      </c>
      <c r="M47" s="27" t="s">
        <v>1092</v>
      </c>
      <c r="N47" s="26">
        <f>AVERAGE(157,150,150,150,153,178,175,152,173,188)</f>
        <v>162.6</v>
      </c>
      <c r="O47" s="24" t="s">
        <v>1092</v>
      </c>
      <c r="P47" s="26">
        <f>129*CA.US</f>
        <v>98.04</v>
      </c>
      <c r="Q47" s="24" t="s">
        <v>852</v>
      </c>
      <c r="R47" s="33" t="s">
        <v>623</v>
      </c>
      <c r="S47" s="26">
        <v>170</v>
      </c>
      <c r="T47" s="24" t="s">
        <v>881</v>
      </c>
      <c r="U47" s="33" t="s">
        <v>32</v>
      </c>
      <c r="W47" s="17"/>
    </row>
  </sheetData>
  <sheetProtection password="990B" sheet="1" objects="1" scenarios="1"/>
  <phoneticPr fontId="0" type="noConversion"/>
  <conditionalFormatting sqref="O1:O12 O16:O32 M41 O41 O34:O38 M35:M38 M48:M1048576 O48:O1048576 O43:O44 M43 O46 M16:M32 M1:M12">
    <cfRule type="cellIs" dxfId="393" priority="20" stopIfTrue="1" operator="lessThan">
      <formula>".08-09"</formula>
    </cfRule>
  </conditionalFormatting>
  <conditionalFormatting sqref="O13:O14">
    <cfRule type="cellIs" dxfId="392" priority="17" stopIfTrue="1" operator="lessThan">
      <formula>".08-09"</formula>
    </cfRule>
  </conditionalFormatting>
  <conditionalFormatting sqref="O40 M40">
    <cfRule type="cellIs" dxfId="391" priority="16" stopIfTrue="1" operator="lessThan">
      <formula>".08-09"</formula>
    </cfRule>
  </conditionalFormatting>
  <conditionalFormatting sqref="O33">
    <cfRule type="cellIs" dxfId="390" priority="14" stopIfTrue="1" operator="lessThan">
      <formula>".08-09"</formula>
    </cfRule>
  </conditionalFormatting>
  <conditionalFormatting sqref="M44">
    <cfRule type="cellIs" dxfId="389" priority="13" stopIfTrue="1" operator="lessThan">
      <formula>".08-09"</formula>
    </cfRule>
  </conditionalFormatting>
  <conditionalFormatting sqref="O47">
    <cfRule type="cellIs" dxfId="388" priority="12" stopIfTrue="1" operator="lessThan">
      <formula>".08-09"</formula>
    </cfRule>
  </conditionalFormatting>
  <conditionalFormatting sqref="O39 M39">
    <cfRule type="cellIs" dxfId="387" priority="11" stopIfTrue="1" operator="lessThan">
      <formula>".08-09"</formula>
    </cfRule>
  </conditionalFormatting>
  <conditionalFormatting sqref="M46">
    <cfRule type="cellIs" dxfId="386" priority="10" stopIfTrue="1" operator="lessThan">
      <formula>".08-09"</formula>
    </cfRule>
  </conditionalFormatting>
  <conditionalFormatting sqref="M42 O42">
    <cfRule type="cellIs" dxfId="385" priority="9" stopIfTrue="1" operator="lessThan">
      <formula>".08-09"</formula>
    </cfRule>
  </conditionalFormatting>
  <conditionalFormatting sqref="O45">
    <cfRule type="cellIs" dxfId="384" priority="8" stopIfTrue="1" operator="lessThan">
      <formula>".08-09"</formula>
    </cfRule>
  </conditionalFormatting>
  <conditionalFormatting sqref="M45">
    <cfRule type="cellIs" dxfId="383" priority="7" stopIfTrue="1" operator="lessThan">
      <formula>".08-09"</formula>
    </cfRule>
  </conditionalFormatting>
  <conditionalFormatting sqref="M15 O15">
    <cfRule type="cellIs" dxfId="382" priority="5" stopIfTrue="1" operator="lessThan">
      <formula>".08-09"</formula>
    </cfRule>
  </conditionalFormatting>
  <conditionalFormatting sqref="M33">
    <cfRule type="cellIs" dxfId="381" priority="4" stopIfTrue="1" operator="lessThan">
      <formula>".08-09"</formula>
    </cfRule>
  </conditionalFormatting>
  <conditionalFormatting sqref="M13">
    <cfRule type="cellIs" dxfId="380" priority="3" stopIfTrue="1" operator="lessThan">
      <formula>".08-09"</formula>
    </cfRule>
  </conditionalFormatting>
  <conditionalFormatting sqref="M14">
    <cfRule type="cellIs" dxfId="379"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C6 C27:C31 C33:C41"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06"/>
  <sheetViews>
    <sheetView zoomScaleNormal="100" workbookViewId="0"/>
  </sheetViews>
  <sheetFormatPr defaultRowHeight="12.6" customHeight="1"/>
  <cols>
    <col min="1" max="1" width="6.28515625" style="75" customWidth="1"/>
    <col min="2" max="2" width="21.5703125" style="75" customWidth="1"/>
    <col min="3" max="3" width="7.140625" style="17" customWidth="1"/>
    <col min="4" max="4" width="7.140625" style="48" customWidth="1"/>
    <col min="5" max="5" width="7.140625" style="17" customWidth="1"/>
    <col min="6" max="6" width="4.7109375" style="17" customWidth="1"/>
    <col min="7" max="7" width="4.7109375" style="48" customWidth="1"/>
    <col min="8" max="8" width="4.7109375" style="74" customWidth="1"/>
    <col min="9" max="11" width="4.7109375" style="15" customWidth="1"/>
    <col min="12" max="17" width="5.28515625" style="15" customWidth="1"/>
    <col min="18" max="18" width="6.7109375" style="15" customWidth="1"/>
    <col min="19" max="20" width="5.28515625" style="15" customWidth="1"/>
    <col min="21" max="21" width="6.7109375" style="15" customWidth="1"/>
    <col min="22" max="22" width="2.7109375" style="15" customWidth="1"/>
    <col min="23" max="23" width="2.85546875" style="15" customWidth="1"/>
    <col min="24" max="16384" width="9.140625" style="19"/>
  </cols>
  <sheetData>
    <row r="1" spans="1:23" ht="12.6" customHeight="1">
      <c r="A1" s="10" t="str">
        <f>i!A1</f>
        <v>Lens$db: Lens Price database</v>
      </c>
      <c r="B1" s="30"/>
      <c r="C1" s="30"/>
      <c r="D1" s="61"/>
      <c r="E1" s="30"/>
      <c r="F1" s="30"/>
      <c r="H1" s="74" t="s">
        <v>16</v>
      </c>
      <c r="I1" s="15" t="s">
        <v>16</v>
      </c>
      <c r="J1" s="60" t="s">
        <v>16</v>
      </c>
      <c r="K1" s="15" t="s">
        <v>16</v>
      </c>
      <c r="L1" s="16" t="s">
        <v>16</v>
      </c>
      <c r="M1" s="16" t="s">
        <v>16</v>
      </c>
      <c r="N1" s="16" t="s">
        <v>16</v>
      </c>
      <c r="O1" s="16" t="s">
        <v>16</v>
      </c>
      <c r="P1" s="16" t="s">
        <v>16</v>
      </c>
      <c r="Q1" s="16" t="s">
        <v>16</v>
      </c>
      <c r="R1" s="47" t="str">
        <f>i!B3</f>
        <v>.2016-06-01</v>
      </c>
      <c r="S1" s="47"/>
      <c r="T1" s="16" t="s">
        <v>16</v>
      </c>
      <c r="U1" s="16" t="s">
        <v>16</v>
      </c>
      <c r="V1" s="16"/>
      <c r="W1" s="16"/>
    </row>
    <row r="2" spans="1:23" ht="12.6" customHeight="1">
      <c r="A2" s="37" t="str">
        <f>i!A3</f>
        <v>v.31</v>
      </c>
      <c r="F2" s="36"/>
      <c r="G2" s="44"/>
      <c r="H2" s="53"/>
      <c r="I2" s="16"/>
      <c r="J2" s="11"/>
      <c r="K2" s="16"/>
      <c r="L2" s="16"/>
      <c r="M2" s="18"/>
      <c r="N2" s="27"/>
      <c r="O2" s="18"/>
      <c r="P2" s="27"/>
      <c r="Q2" s="18"/>
      <c r="R2" s="27"/>
      <c r="S2" s="27"/>
      <c r="T2" s="18"/>
      <c r="U2" s="27"/>
      <c r="V2" s="16"/>
      <c r="W2" s="16"/>
    </row>
    <row r="3" spans="1:23" s="30" customFormat="1" ht="12.6" customHeight="1">
      <c r="C3" s="21"/>
      <c r="D3" s="76"/>
      <c r="E3" s="21"/>
      <c r="F3" s="77"/>
      <c r="G3" s="50"/>
      <c r="H3" s="50"/>
      <c r="I3" s="27"/>
      <c r="J3" s="27"/>
      <c r="K3" s="50"/>
      <c r="L3" s="51"/>
      <c r="M3" s="28" t="s">
        <v>16</v>
      </c>
      <c r="N3" s="28" t="s">
        <v>17</v>
      </c>
      <c r="O3" s="28" t="s">
        <v>16</v>
      </c>
      <c r="P3" s="136"/>
      <c r="Q3" s="90"/>
      <c r="R3" s="31" t="s">
        <v>18</v>
      </c>
      <c r="S3" s="27"/>
      <c r="T3" s="28" t="s">
        <v>16</v>
      </c>
      <c r="U3" s="33"/>
      <c r="V3" s="13"/>
      <c r="W3" s="13"/>
    </row>
    <row r="4" spans="1:23" s="37" customFormat="1" ht="12.6" customHeight="1">
      <c r="A4" s="30" t="s">
        <v>16</v>
      </c>
      <c r="B4" s="30" t="s">
        <v>16</v>
      </c>
      <c r="C4" s="36" t="s">
        <v>6</v>
      </c>
      <c r="D4" s="44" t="s">
        <v>11</v>
      </c>
      <c r="E4" s="36" t="s">
        <v>760</v>
      </c>
      <c r="F4" s="122" t="s">
        <v>13</v>
      </c>
      <c r="G4" s="52" t="s">
        <v>277</v>
      </c>
      <c r="H4" s="53" t="s">
        <v>7</v>
      </c>
      <c r="I4" s="16" t="s">
        <v>325</v>
      </c>
      <c r="J4" s="16" t="s">
        <v>326</v>
      </c>
      <c r="K4" s="31" t="s">
        <v>327</v>
      </c>
      <c r="L4" s="32" t="s">
        <v>506</v>
      </c>
      <c r="M4" s="33"/>
      <c r="N4" s="34" t="s">
        <v>19</v>
      </c>
      <c r="O4" s="27"/>
      <c r="P4" s="138"/>
      <c r="Q4" s="28" t="s">
        <v>507</v>
      </c>
      <c r="R4" s="29"/>
      <c r="S4" s="135"/>
      <c r="T4" s="31" t="s">
        <v>9</v>
      </c>
      <c r="U4" s="31"/>
      <c r="V4" s="18"/>
      <c r="W4" s="36"/>
    </row>
    <row r="5" spans="1:23" s="37" customFormat="1" ht="12.6" customHeight="1">
      <c r="A5" s="38" t="s">
        <v>16</v>
      </c>
      <c r="B5" s="38" t="s">
        <v>16</v>
      </c>
      <c r="C5" s="24" t="s">
        <v>20</v>
      </c>
      <c r="D5" s="62" t="s">
        <v>16</v>
      </c>
      <c r="E5" s="24" t="s">
        <v>16</v>
      </c>
      <c r="F5" s="84" t="s">
        <v>16</v>
      </c>
      <c r="G5" s="55" t="s">
        <v>37</v>
      </c>
      <c r="H5" s="56" t="s">
        <v>21</v>
      </c>
      <c r="I5" s="27" t="s">
        <v>20</v>
      </c>
      <c r="J5" s="27" t="s">
        <v>20</v>
      </c>
      <c r="K5" s="33" t="s">
        <v>20</v>
      </c>
      <c r="L5" s="26" t="s">
        <v>22</v>
      </c>
      <c r="M5" s="33" t="s">
        <v>23</v>
      </c>
      <c r="N5" s="27" t="s">
        <v>22</v>
      </c>
      <c r="O5" s="27" t="s">
        <v>23</v>
      </c>
      <c r="P5" s="26" t="s">
        <v>22</v>
      </c>
      <c r="Q5" s="27" t="s">
        <v>23</v>
      </c>
      <c r="R5" s="33" t="s">
        <v>24</v>
      </c>
      <c r="S5" s="35" t="s">
        <v>22</v>
      </c>
      <c r="T5" s="28" t="s">
        <v>23</v>
      </c>
      <c r="U5" s="29" t="s">
        <v>24</v>
      </c>
      <c r="V5" s="18"/>
      <c r="W5" s="36"/>
    </row>
    <row r="6" spans="1:23" s="37" customFormat="1" ht="12.6" customHeight="1">
      <c r="A6" s="121" t="s">
        <v>347</v>
      </c>
      <c r="B6" s="68"/>
      <c r="C6" s="28" t="s">
        <v>16</v>
      </c>
      <c r="D6" s="69" t="s">
        <v>16</v>
      </c>
      <c r="E6" s="28" t="s">
        <v>16</v>
      </c>
      <c r="F6" s="72" t="s">
        <v>16</v>
      </c>
      <c r="G6" s="70" t="s">
        <v>16</v>
      </c>
      <c r="H6" s="71" t="s">
        <v>16</v>
      </c>
      <c r="I6" s="28" t="s">
        <v>16</v>
      </c>
      <c r="J6" s="28" t="s">
        <v>16</v>
      </c>
      <c r="K6" s="28" t="s">
        <v>16</v>
      </c>
      <c r="L6" s="28" t="s">
        <v>16</v>
      </c>
      <c r="M6" s="28" t="s">
        <v>16</v>
      </c>
      <c r="N6" s="28" t="s">
        <v>16</v>
      </c>
      <c r="O6" s="28" t="s">
        <v>16</v>
      </c>
      <c r="P6" s="28" t="s">
        <v>16</v>
      </c>
      <c r="Q6" s="28" t="s">
        <v>16</v>
      </c>
      <c r="R6" s="28" t="s">
        <v>16</v>
      </c>
      <c r="S6" s="28" t="s">
        <v>16</v>
      </c>
      <c r="T6" s="28" t="s">
        <v>16</v>
      </c>
      <c r="U6" s="28" t="s">
        <v>16</v>
      </c>
    </row>
    <row r="7" spans="1:23" ht="12.6" customHeight="1">
      <c r="A7" s="91" t="s">
        <v>89</v>
      </c>
      <c r="B7" s="143" t="s">
        <v>652</v>
      </c>
      <c r="C7" s="92">
        <v>14</v>
      </c>
      <c r="D7" s="98">
        <v>2.8</v>
      </c>
      <c r="E7" s="92">
        <f t="shared" ref="E7:E27" si="0">1.6*C7</f>
        <v>22.400000000000002</v>
      </c>
      <c r="F7" s="93" t="s">
        <v>39</v>
      </c>
      <c r="G7" s="94">
        <v>0.18</v>
      </c>
      <c r="H7" s="95">
        <v>0.63</v>
      </c>
      <c r="I7" s="92">
        <v>91</v>
      </c>
      <c r="J7" s="92">
        <v>82</v>
      </c>
      <c r="K7" s="96" t="s">
        <v>40</v>
      </c>
      <c r="L7" s="92">
        <f>AVERAGE(315,350,358,315,350,461,454,400)</f>
        <v>375.375</v>
      </c>
      <c r="M7" s="96" t="s">
        <v>1008</v>
      </c>
      <c r="N7" s="92">
        <f>AVERAGE(499,500,500,520,500,515)</f>
        <v>505.66666666666669</v>
      </c>
      <c r="O7" s="92" t="s">
        <v>1092</v>
      </c>
      <c r="P7" s="97">
        <v>487</v>
      </c>
      <c r="Q7" s="92" t="s">
        <v>821</v>
      </c>
      <c r="R7" s="96" t="s">
        <v>30</v>
      </c>
      <c r="S7" s="97" t="s">
        <v>16</v>
      </c>
      <c r="T7" s="92" t="s">
        <v>16</v>
      </c>
      <c r="U7" s="96" t="s">
        <v>16</v>
      </c>
      <c r="V7" s="16"/>
      <c r="W7" s="16"/>
    </row>
    <row r="8" spans="1:23" ht="12.6" customHeight="1">
      <c r="A8" s="91" t="s">
        <v>89</v>
      </c>
      <c r="B8" s="143" t="s">
        <v>444</v>
      </c>
      <c r="C8" s="92">
        <v>20</v>
      </c>
      <c r="D8" s="98">
        <v>1.4</v>
      </c>
      <c r="E8" s="92">
        <f t="shared" si="0"/>
        <v>32</v>
      </c>
      <c r="F8" s="93" t="s">
        <v>39</v>
      </c>
      <c r="G8" s="94">
        <v>0.27600000000000002</v>
      </c>
      <c r="H8" s="95">
        <v>0.95</v>
      </c>
      <c r="I8" s="92">
        <v>129.80000000000001</v>
      </c>
      <c r="J8" s="92">
        <v>90.7</v>
      </c>
      <c r="K8" s="96" t="s">
        <v>16</v>
      </c>
      <c r="L8" s="92">
        <f>AVERAGE(745)</f>
        <v>745</v>
      </c>
      <c r="M8" s="96" t="s">
        <v>1092</v>
      </c>
      <c r="N8" s="92">
        <f>AVERAGE(792)</f>
        <v>792</v>
      </c>
      <c r="O8" s="96" t="s">
        <v>1092</v>
      </c>
      <c r="P8" s="97" t="s">
        <v>16</v>
      </c>
      <c r="Q8" s="92" t="s">
        <v>16</v>
      </c>
      <c r="R8" s="96" t="s">
        <v>16</v>
      </c>
      <c r="S8" s="97" t="s">
        <v>16</v>
      </c>
      <c r="T8" s="92" t="s">
        <v>16</v>
      </c>
      <c r="U8" s="96" t="s">
        <v>16</v>
      </c>
      <c r="V8" s="16"/>
      <c r="W8" s="16"/>
    </row>
    <row r="9" spans="1:23" ht="12.6" customHeight="1">
      <c r="A9" s="91" t="s">
        <v>89</v>
      </c>
      <c r="B9" s="143" t="s">
        <v>444</v>
      </c>
      <c r="C9" s="92">
        <v>20</v>
      </c>
      <c r="D9" s="98">
        <v>1.8</v>
      </c>
      <c r="E9" s="92">
        <f t="shared" si="0"/>
        <v>32</v>
      </c>
      <c r="F9" s="93" t="s">
        <v>39</v>
      </c>
      <c r="G9" s="94">
        <v>0.2</v>
      </c>
      <c r="H9" s="95">
        <v>0.52</v>
      </c>
      <c r="I9" s="92">
        <v>87</v>
      </c>
      <c r="J9" s="92">
        <v>89</v>
      </c>
      <c r="K9" s="96">
        <v>82</v>
      </c>
      <c r="L9" s="92">
        <f>AVERAGE(218,161,223,297,259,245,250)</f>
        <v>236.14285714285714</v>
      </c>
      <c r="M9" s="96" t="s">
        <v>1008</v>
      </c>
      <c r="N9" s="92">
        <f>AVERAGE(370,330,371,419,425,410)</f>
        <v>387.5</v>
      </c>
      <c r="O9" s="92" t="s">
        <v>1092</v>
      </c>
      <c r="P9" s="97">
        <v>310</v>
      </c>
      <c r="Q9" s="92" t="s">
        <v>881</v>
      </c>
      <c r="R9" s="96" t="s">
        <v>33</v>
      </c>
      <c r="S9" s="97">
        <v>450</v>
      </c>
      <c r="T9" s="92" t="s">
        <v>765</v>
      </c>
      <c r="U9" s="96" t="s">
        <v>757</v>
      </c>
      <c r="V9" s="16"/>
      <c r="W9" s="16"/>
    </row>
    <row r="10" spans="1:23" ht="12.6" customHeight="1">
      <c r="A10" s="91" t="s">
        <v>89</v>
      </c>
      <c r="B10" s="143" t="s">
        <v>819</v>
      </c>
      <c r="C10" s="92">
        <v>24</v>
      </c>
      <c r="D10" s="98">
        <v>1.4</v>
      </c>
      <c r="E10" s="92">
        <f t="shared" si="0"/>
        <v>38.400000000000006</v>
      </c>
      <c r="F10" s="93" t="s">
        <v>39</v>
      </c>
      <c r="G10" s="94">
        <v>0.25</v>
      </c>
      <c r="H10" s="95">
        <v>0.66500000000000004</v>
      </c>
      <c r="I10" s="92">
        <v>90.2</v>
      </c>
      <c r="J10" s="92">
        <v>85</v>
      </c>
      <c r="K10" s="96">
        <v>77</v>
      </c>
      <c r="L10" s="92">
        <f>AVERAGE(625,650,655)</f>
        <v>643.33333333333337</v>
      </c>
      <c r="M10" s="96" t="s">
        <v>1092</v>
      </c>
      <c r="N10" s="92">
        <f>AVERAGE(730)</f>
        <v>730</v>
      </c>
      <c r="O10" s="92" t="s">
        <v>1092</v>
      </c>
      <c r="P10" s="97">
        <f>AVERAGE(0)</f>
        <v>0</v>
      </c>
      <c r="Q10" s="92" t="s">
        <v>16</v>
      </c>
      <c r="R10" s="96" t="s">
        <v>16</v>
      </c>
      <c r="S10" s="97">
        <f>AVERAGE(0)</f>
        <v>0</v>
      </c>
      <c r="T10" s="92" t="s">
        <v>16</v>
      </c>
      <c r="U10" s="96" t="s">
        <v>16</v>
      </c>
      <c r="V10" s="16"/>
      <c r="W10" s="16"/>
    </row>
    <row r="11" spans="1:23" ht="12.6" customHeight="1">
      <c r="A11" s="91" t="s">
        <v>89</v>
      </c>
      <c r="B11" s="143" t="s">
        <v>653</v>
      </c>
      <c r="C11" s="92">
        <v>24</v>
      </c>
      <c r="D11" s="98">
        <v>1.8</v>
      </c>
      <c r="E11" s="92">
        <f t="shared" si="0"/>
        <v>38.400000000000006</v>
      </c>
      <c r="F11" s="93" t="s">
        <v>39</v>
      </c>
      <c r="G11" s="94">
        <v>0.18</v>
      </c>
      <c r="H11" s="95">
        <v>0.48499999999999999</v>
      </c>
      <c r="I11" s="92">
        <v>80</v>
      </c>
      <c r="J11" s="92">
        <v>83</v>
      </c>
      <c r="K11" s="96">
        <v>77</v>
      </c>
      <c r="L11" s="92">
        <f>AVERAGE(288,297,299,290,260,280,302,330,307,281,298)</f>
        <v>293.81818181818181</v>
      </c>
      <c r="M11" s="96" t="s">
        <v>862</v>
      </c>
      <c r="N11" s="99">
        <f>AVERAGE(345,320,400,400,330,400,360,375)</f>
        <v>366.25</v>
      </c>
      <c r="O11" s="92" t="s">
        <v>807</v>
      </c>
      <c r="P11" s="97">
        <v>360</v>
      </c>
      <c r="Q11" s="92" t="s">
        <v>821</v>
      </c>
      <c r="R11" s="96" t="s">
        <v>33</v>
      </c>
      <c r="S11" s="97">
        <v>275</v>
      </c>
      <c r="T11" s="92" t="s">
        <v>677</v>
      </c>
      <c r="U11" s="96" t="s">
        <v>30</v>
      </c>
      <c r="V11" s="16"/>
      <c r="W11" s="16"/>
    </row>
    <row r="12" spans="1:23" ht="12.6" customHeight="1">
      <c r="A12" s="91" t="s">
        <v>89</v>
      </c>
      <c r="B12" s="143" t="s">
        <v>621</v>
      </c>
      <c r="C12" s="92">
        <v>28</v>
      </c>
      <c r="D12" s="98">
        <v>1.8</v>
      </c>
      <c r="E12" s="92">
        <f t="shared" si="0"/>
        <v>44.800000000000004</v>
      </c>
      <c r="F12" s="93" t="s">
        <v>39</v>
      </c>
      <c r="G12" s="94">
        <v>0.3</v>
      </c>
      <c r="H12" s="95">
        <v>0.28999999999999998</v>
      </c>
      <c r="I12" s="92">
        <v>62</v>
      </c>
      <c r="J12" s="92">
        <v>69</v>
      </c>
      <c r="K12" s="96">
        <v>58</v>
      </c>
      <c r="L12" s="92">
        <f>AVERAGE(200,147,200,190,225,103,180,191,165)</f>
        <v>177.88888888888889</v>
      </c>
      <c r="M12" s="96" t="s">
        <v>835</v>
      </c>
      <c r="N12" s="92">
        <f>AVERAGE(299,349,388,328,295,286,328,229,275,353)</f>
        <v>313</v>
      </c>
      <c r="O12" s="92" t="s">
        <v>813</v>
      </c>
      <c r="P12" s="97">
        <v>275</v>
      </c>
      <c r="Q12" s="92" t="s">
        <v>723</v>
      </c>
      <c r="R12" s="96" t="s">
        <v>30</v>
      </c>
      <c r="S12" s="97">
        <v>450</v>
      </c>
      <c r="T12" s="92" t="s">
        <v>734</v>
      </c>
      <c r="U12" s="96" t="s">
        <v>33</v>
      </c>
      <c r="V12" s="16"/>
      <c r="W12" s="16"/>
    </row>
    <row r="13" spans="1:23" ht="12.6" customHeight="1">
      <c r="A13" s="91" t="s">
        <v>592</v>
      </c>
      <c r="B13" s="143" t="s">
        <v>718</v>
      </c>
      <c r="C13" s="92">
        <v>35</v>
      </c>
      <c r="D13" s="98">
        <v>1.4</v>
      </c>
      <c r="E13" s="92">
        <f t="shared" si="0"/>
        <v>56</v>
      </c>
      <c r="F13" s="93" t="s">
        <v>39</v>
      </c>
      <c r="G13" s="94">
        <v>0.3</v>
      </c>
      <c r="H13" s="95">
        <v>0.66500000000000004</v>
      </c>
      <c r="I13" s="92">
        <v>94</v>
      </c>
      <c r="J13" s="92">
        <v>77</v>
      </c>
      <c r="K13" s="96">
        <v>67</v>
      </c>
      <c r="L13" s="92">
        <f>AVERAGE(610,571,651,674,690,658,660,650)</f>
        <v>645.5</v>
      </c>
      <c r="M13" s="96" t="s">
        <v>1092</v>
      </c>
      <c r="N13" s="92">
        <f>AVERAGE(745,689,730,698,701,740,770,780,760)</f>
        <v>734.77777777777783</v>
      </c>
      <c r="O13" s="92" t="s">
        <v>1008</v>
      </c>
      <c r="P13" s="97">
        <f>750*CA.US</f>
        <v>570</v>
      </c>
      <c r="Q13" s="92" t="s">
        <v>862</v>
      </c>
      <c r="R13" s="96" t="s">
        <v>361</v>
      </c>
      <c r="S13" s="97">
        <v>750</v>
      </c>
      <c r="T13" s="92" t="s">
        <v>862</v>
      </c>
      <c r="U13" s="96" t="s">
        <v>29</v>
      </c>
      <c r="V13" s="16"/>
      <c r="W13" s="16"/>
    </row>
    <row r="14" spans="1:23" ht="12.6" customHeight="1">
      <c r="A14" s="91" t="s">
        <v>89</v>
      </c>
      <c r="B14" s="143" t="s">
        <v>260</v>
      </c>
      <c r="C14" s="92">
        <v>50</v>
      </c>
      <c r="D14" s="98">
        <v>1.4</v>
      </c>
      <c r="E14" s="92">
        <f t="shared" si="0"/>
        <v>80</v>
      </c>
      <c r="F14" s="93" t="s">
        <v>39</v>
      </c>
      <c r="G14" s="94">
        <v>0.45</v>
      </c>
      <c r="H14" s="95">
        <v>0.505</v>
      </c>
      <c r="I14" s="92">
        <v>68</v>
      </c>
      <c r="J14" s="92">
        <v>85</v>
      </c>
      <c r="K14" s="96">
        <v>77</v>
      </c>
      <c r="L14" s="92">
        <f>AVERAGE(263,242,240,220,227,276,252,261,275)</f>
        <v>250.66666666666666</v>
      </c>
      <c r="M14" s="96" t="s">
        <v>1092</v>
      </c>
      <c r="N14" s="92">
        <f>AVERAGE(340,315,295,304,425,338,330,350,381,366)</f>
        <v>344.4</v>
      </c>
      <c r="O14" s="96" t="s">
        <v>1092</v>
      </c>
      <c r="P14" s="97">
        <v>350</v>
      </c>
      <c r="Q14" s="92" t="s">
        <v>862</v>
      </c>
      <c r="R14" s="96" t="s">
        <v>33</v>
      </c>
      <c r="S14" s="97">
        <v>350</v>
      </c>
      <c r="T14" s="92" t="s">
        <v>821</v>
      </c>
      <c r="U14" s="96" t="s">
        <v>757</v>
      </c>
      <c r="V14" s="16"/>
      <c r="W14" s="16"/>
    </row>
    <row r="15" spans="1:23" ht="12.6" customHeight="1">
      <c r="A15" s="91" t="s">
        <v>89</v>
      </c>
      <c r="B15" s="143" t="s">
        <v>717</v>
      </c>
      <c r="C15" s="92">
        <v>50</v>
      </c>
      <c r="D15" s="98">
        <v>1.4</v>
      </c>
      <c r="E15" s="92">
        <f t="shared" si="0"/>
        <v>80</v>
      </c>
      <c r="F15" s="93" t="s">
        <v>39</v>
      </c>
      <c r="G15" s="94">
        <v>0.4</v>
      </c>
      <c r="H15" s="95">
        <v>0.81499999999999995</v>
      </c>
      <c r="I15" s="92">
        <v>99.9</v>
      </c>
      <c r="J15" s="92">
        <v>85.4</v>
      </c>
      <c r="K15" s="96">
        <v>77</v>
      </c>
      <c r="L15" s="92">
        <f>AVERAGE(571,650,700,700,670,604,649)</f>
        <v>649.14285714285711</v>
      </c>
      <c r="M15" s="96" t="s">
        <v>1092</v>
      </c>
      <c r="N15" s="92">
        <f>AVERAGE(740,711,712,679,825)</f>
        <v>733.4</v>
      </c>
      <c r="O15" s="96" t="s">
        <v>1092</v>
      </c>
      <c r="P15" s="97" t="s">
        <v>16</v>
      </c>
      <c r="Q15" s="92" t="s">
        <v>16</v>
      </c>
      <c r="R15" s="96" t="s">
        <v>16</v>
      </c>
      <c r="S15" s="100">
        <v>950</v>
      </c>
      <c r="T15" s="92" t="s">
        <v>755</v>
      </c>
      <c r="U15" s="96" t="s">
        <v>32</v>
      </c>
      <c r="V15" s="16"/>
      <c r="W15" s="16"/>
    </row>
    <row r="16" spans="1:23" ht="12.6" customHeight="1">
      <c r="A16" s="91" t="s">
        <v>89</v>
      </c>
      <c r="B16" s="143" t="s">
        <v>640</v>
      </c>
      <c r="C16" s="92">
        <v>50</v>
      </c>
      <c r="D16" s="98">
        <v>2.8</v>
      </c>
      <c r="E16" s="92">
        <f t="shared" si="0"/>
        <v>80</v>
      </c>
      <c r="F16" s="93" t="s">
        <v>39</v>
      </c>
      <c r="G16" s="94">
        <v>0.189</v>
      </c>
      <c r="H16" s="95">
        <v>0.32</v>
      </c>
      <c r="I16" s="92">
        <v>66.5</v>
      </c>
      <c r="J16" s="92">
        <v>71.400000000000006</v>
      </c>
      <c r="K16" s="96">
        <v>55</v>
      </c>
      <c r="L16" s="92">
        <f>AVERAGE(128,132,135,125,124,133,120)</f>
        <v>128.14285714285714</v>
      </c>
      <c r="M16" s="96" t="s">
        <v>1092</v>
      </c>
      <c r="N16" s="92">
        <f>AVERAGE(275,210,202,279,255,200,220,269,230)</f>
        <v>237.77777777777777</v>
      </c>
      <c r="O16" s="92" t="s">
        <v>807</v>
      </c>
      <c r="P16" s="97">
        <v>210</v>
      </c>
      <c r="Q16" s="92" t="s">
        <v>881</v>
      </c>
      <c r="R16" s="96" t="s">
        <v>30</v>
      </c>
      <c r="S16" s="97">
        <v>170</v>
      </c>
      <c r="T16" s="92" t="s">
        <v>881</v>
      </c>
      <c r="U16" s="96" t="s">
        <v>29</v>
      </c>
      <c r="V16" s="16"/>
      <c r="W16" s="16"/>
    </row>
    <row r="17" spans="1:23" ht="12.6" customHeight="1">
      <c r="A17" s="91" t="s">
        <v>89</v>
      </c>
      <c r="B17" s="143" t="s">
        <v>641</v>
      </c>
      <c r="C17" s="92">
        <v>70</v>
      </c>
      <c r="D17" s="98">
        <v>2.8</v>
      </c>
      <c r="E17" s="92">
        <f t="shared" si="0"/>
        <v>112</v>
      </c>
      <c r="F17" s="93" t="s">
        <v>39</v>
      </c>
      <c r="G17" s="94">
        <v>0.25700000000000001</v>
      </c>
      <c r="H17" s="95">
        <v>0.52500000000000002</v>
      </c>
      <c r="I17" s="92">
        <v>95</v>
      </c>
      <c r="J17" s="92">
        <v>76</v>
      </c>
      <c r="K17" s="96">
        <v>62</v>
      </c>
      <c r="L17" s="92">
        <f>AVERAGE(119,220,188,247)</f>
        <v>193.5</v>
      </c>
      <c r="M17" s="96" t="s">
        <v>837</v>
      </c>
      <c r="N17" s="92">
        <f>AVERAGE(321,315,325,375,350)</f>
        <v>337.2</v>
      </c>
      <c r="O17" s="92" t="s">
        <v>765</v>
      </c>
      <c r="P17" s="97">
        <v>300</v>
      </c>
      <c r="Q17" s="92" t="s">
        <v>723</v>
      </c>
      <c r="R17" s="96" t="s">
        <v>30</v>
      </c>
      <c r="S17" s="97">
        <v>370</v>
      </c>
      <c r="T17" s="92" t="s">
        <v>765</v>
      </c>
      <c r="U17" s="96" t="s">
        <v>757</v>
      </c>
      <c r="V17" s="16"/>
      <c r="W17" s="16"/>
    </row>
    <row r="18" spans="1:23" ht="12.6" customHeight="1">
      <c r="A18" s="91" t="s">
        <v>89</v>
      </c>
      <c r="B18" s="143" t="s">
        <v>642</v>
      </c>
      <c r="C18" s="92">
        <v>85</v>
      </c>
      <c r="D18" s="98">
        <v>1.4</v>
      </c>
      <c r="E18" s="92">
        <f t="shared" si="0"/>
        <v>136</v>
      </c>
      <c r="F18" s="93" t="s">
        <v>39</v>
      </c>
      <c r="G18" s="94">
        <v>0.85</v>
      </c>
      <c r="H18" s="95">
        <v>0.72499999999999998</v>
      </c>
      <c r="I18" s="92">
        <v>86.4</v>
      </c>
      <c r="J18" s="92">
        <v>86.4</v>
      </c>
      <c r="K18" s="96">
        <v>77</v>
      </c>
      <c r="L18" s="92">
        <f>AVERAGE(515,575,618,610,695,544,623)</f>
        <v>597.14285714285711</v>
      </c>
      <c r="M18" s="96" t="s">
        <v>1092</v>
      </c>
      <c r="N18" s="92">
        <f>AVERAGE(700,720,20,681,730,710,749,755,765,799)</f>
        <v>662.9</v>
      </c>
      <c r="O18" s="92" t="s">
        <v>862</v>
      </c>
      <c r="P18" s="97">
        <v>720</v>
      </c>
      <c r="Q18" s="92" t="s">
        <v>881</v>
      </c>
      <c r="R18" s="96" t="s">
        <v>757</v>
      </c>
      <c r="S18" s="97">
        <v>822</v>
      </c>
      <c r="T18" s="92" t="s">
        <v>881</v>
      </c>
      <c r="U18" s="96" t="s">
        <v>30</v>
      </c>
      <c r="V18" s="16"/>
      <c r="W18" s="16"/>
    </row>
    <row r="19" spans="1:23" ht="12.6" customHeight="1">
      <c r="A19" s="91" t="s">
        <v>89</v>
      </c>
      <c r="B19" s="143" t="s">
        <v>643</v>
      </c>
      <c r="C19" s="92">
        <v>105</v>
      </c>
      <c r="D19" s="98">
        <v>2.8</v>
      </c>
      <c r="E19" s="92">
        <f t="shared" si="0"/>
        <v>168</v>
      </c>
      <c r="F19" s="93" t="s">
        <v>39</v>
      </c>
      <c r="G19" s="94">
        <v>0.31</v>
      </c>
      <c r="H19" s="95">
        <v>0.45</v>
      </c>
      <c r="I19" s="92">
        <v>95</v>
      </c>
      <c r="J19" s="92">
        <v>74</v>
      </c>
      <c r="K19" s="96">
        <v>58</v>
      </c>
      <c r="L19" s="92">
        <f>AVERAGE(180,160,230,139,158,162,235,170,187)</f>
        <v>180.11111111111111</v>
      </c>
      <c r="M19" s="96" t="s">
        <v>881</v>
      </c>
      <c r="N19" s="92">
        <f>AVERAGE(225,249,281,195,247,240)</f>
        <v>239.5</v>
      </c>
      <c r="O19" s="92" t="s">
        <v>1092</v>
      </c>
      <c r="P19" s="97">
        <v>300</v>
      </c>
      <c r="Q19" s="92" t="s">
        <v>862</v>
      </c>
      <c r="R19" s="96" t="s">
        <v>33</v>
      </c>
      <c r="S19" s="97">
        <v>340</v>
      </c>
      <c r="T19" s="92" t="s">
        <v>550</v>
      </c>
      <c r="U19" s="96" t="s">
        <v>30</v>
      </c>
      <c r="V19" s="16"/>
      <c r="W19" s="16"/>
    </row>
    <row r="20" spans="1:23" ht="12.6" customHeight="1">
      <c r="A20" s="91" t="s">
        <v>89</v>
      </c>
      <c r="B20" s="143" t="s">
        <v>644</v>
      </c>
      <c r="C20" s="92">
        <v>105</v>
      </c>
      <c r="D20" s="98">
        <v>2.8</v>
      </c>
      <c r="E20" s="92">
        <f t="shared" si="0"/>
        <v>168</v>
      </c>
      <c r="F20" s="93" t="s">
        <v>39</v>
      </c>
      <c r="G20" s="94">
        <v>0.31</v>
      </c>
      <c r="H20" s="95">
        <v>0.72499999999999998</v>
      </c>
      <c r="I20" s="92">
        <v>126.4</v>
      </c>
      <c r="J20" s="92">
        <v>78.7</v>
      </c>
      <c r="K20" s="96">
        <v>62</v>
      </c>
      <c r="L20" s="92">
        <f>AVERAGE(350,438,396,400,430,416)</f>
        <v>405</v>
      </c>
      <c r="M20" s="96" t="s">
        <v>881</v>
      </c>
      <c r="N20" s="92">
        <f>AVERAGE(409,588)</f>
        <v>498.5</v>
      </c>
      <c r="O20" s="92" t="s">
        <v>852</v>
      </c>
      <c r="P20" s="97">
        <v>550</v>
      </c>
      <c r="Q20" s="92" t="s">
        <v>765</v>
      </c>
      <c r="R20" s="96" t="s">
        <v>33</v>
      </c>
      <c r="S20" s="97" t="s">
        <v>16</v>
      </c>
      <c r="T20" s="92" t="s">
        <v>16</v>
      </c>
      <c r="U20" s="96" t="s">
        <v>16</v>
      </c>
      <c r="V20" s="16"/>
      <c r="W20" s="16"/>
    </row>
    <row r="21" spans="1:23" ht="12.6" customHeight="1">
      <c r="A21" s="91" t="s">
        <v>89</v>
      </c>
      <c r="B21" s="143" t="s">
        <v>645</v>
      </c>
      <c r="C21" s="92">
        <v>150</v>
      </c>
      <c r="D21" s="98">
        <v>2.8</v>
      </c>
      <c r="E21" s="92">
        <f t="shared" si="0"/>
        <v>240</v>
      </c>
      <c r="F21" s="93" t="s">
        <v>39</v>
      </c>
      <c r="G21" s="94">
        <v>0.38</v>
      </c>
      <c r="H21" s="95">
        <v>0.89500000000000002</v>
      </c>
      <c r="I21" s="92">
        <v>137</v>
      </c>
      <c r="J21" s="92">
        <v>79.599999999999994</v>
      </c>
      <c r="K21" s="96">
        <v>72</v>
      </c>
      <c r="L21" s="92">
        <f>AVERAGE(369,415,395,270,399,429,425,401,308,481)</f>
        <v>389.2</v>
      </c>
      <c r="M21" s="96" t="s">
        <v>1092</v>
      </c>
      <c r="N21" s="92">
        <f>AVERAGE(495,538,500,435,590,530,515,460,455)</f>
        <v>502</v>
      </c>
      <c r="O21" s="92" t="s">
        <v>1008</v>
      </c>
      <c r="P21" s="97">
        <v>480</v>
      </c>
      <c r="Q21" s="92" t="s">
        <v>862</v>
      </c>
      <c r="R21" s="96" t="s">
        <v>33</v>
      </c>
      <c r="S21" s="97">
        <v>600</v>
      </c>
      <c r="T21" s="92" t="s">
        <v>765</v>
      </c>
      <c r="U21" s="96" t="s">
        <v>33</v>
      </c>
      <c r="V21" s="16"/>
      <c r="W21" s="16"/>
    </row>
    <row r="22" spans="1:23" ht="12.6" customHeight="1">
      <c r="A22" s="91" t="s">
        <v>89</v>
      </c>
      <c r="B22" s="143" t="s">
        <v>646</v>
      </c>
      <c r="C22" s="92">
        <v>150</v>
      </c>
      <c r="D22" s="98">
        <v>2.8</v>
      </c>
      <c r="E22" s="92">
        <f t="shared" si="0"/>
        <v>240</v>
      </c>
      <c r="F22" s="93" t="s">
        <v>39</v>
      </c>
      <c r="G22" s="94">
        <v>0.38</v>
      </c>
      <c r="H22" s="95">
        <v>1.1499999999999999</v>
      </c>
      <c r="I22" s="92">
        <v>149.9</v>
      </c>
      <c r="J22" s="92">
        <v>79.599999999999994</v>
      </c>
      <c r="K22" s="96">
        <v>72</v>
      </c>
      <c r="L22" s="92">
        <f>AVERAGE(680,750,740)</f>
        <v>723.33333333333337</v>
      </c>
      <c r="M22" s="96" t="s">
        <v>1008</v>
      </c>
      <c r="N22" s="92">
        <f>AVERAGE(875,940,949,881,939)</f>
        <v>916.8</v>
      </c>
      <c r="O22" s="92" t="s">
        <v>765</v>
      </c>
      <c r="P22" s="97">
        <v>700</v>
      </c>
      <c r="Q22" s="92" t="s">
        <v>881</v>
      </c>
      <c r="R22" s="96" t="s">
        <v>33</v>
      </c>
      <c r="S22" s="97">
        <v>852</v>
      </c>
      <c r="T22" s="92" t="s">
        <v>821</v>
      </c>
      <c r="U22" s="96" t="s">
        <v>30</v>
      </c>
      <c r="V22" s="16"/>
      <c r="W22" s="16"/>
    </row>
    <row r="23" spans="1:23" ht="12.6" customHeight="1">
      <c r="A23" s="91" t="s">
        <v>89</v>
      </c>
      <c r="B23" s="143" t="s">
        <v>648</v>
      </c>
      <c r="C23" s="92">
        <v>180</v>
      </c>
      <c r="D23" s="98">
        <v>2.8</v>
      </c>
      <c r="E23" s="92">
        <f t="shared" si="0"/>
        <v>288</v>
      </c>
      <c r="F23" s="93" t="s">
        <v>39</v>
      </c>
      <c r="G23" s="94">
        <v>0.47</v>
      </c>
      <c r="H23" s="95">
        <v>1.6379999999999999</v>
      </c>
      <c r="I23" s="92">
        <v>203.9</v>
      </c>
      <c r="J23" s="92">
        <v>95</v>
      </c>
      <c r="K23" s="96">
        <v>86</v>
      </c>
      <c r="L23" s="92">
        <f>AVERAGE(940)</f>
        <v>940</v>
      </c>
      <c r="M23" s="96" t="s">
        <v>881</v>
      </c>
      <c r="N23" s="92">
        <f>AVERAGE(999,1125,1025,927)</f>
        <v>1019</v>
      </c>
      <c r="O23" s="92" t="s">
        <v>821</v>
      </c>
      <c r="P23" s="97">
        <v>1160</v>
      </c>
      <c r="Q23" s="92" t="s">
        <v>862</v>
      </c>
      <c r="R23" s="96" t="s">
        <v>33</v>
      </c>
      <c r="S23" s="97">
        <v>1270</v>
      </c>
      <c r="T23" s="92" t="s">
        <v>881</v>
      </c>
      <c r="U23" s="96" t="s">
        <v>757</v>
      </c>
      <c r="V23" s="16"/>
      <c r="W23" s="16"/>
    </row>
    <row r="24" spans="1:23" ht="12.6" customHeight="1">
      <c r="A24" s="91" t="s">
        <v>89</v>
      </c>
      <c r="B24" s="143" t="s">
        <v>647</v>
      </c>
      <c r="C24" s="92">
        <v>180</v>
      </c>
      <c r="D24" s="98">
        <v>3.5</v>
      </c>
      <c r="E24" s="92">
        <f t="shared" si="0"/>
        <v>288</v>
      </c>
      <c r="F24" s="93" t="s">
        <v>39</v>
      </c>
      <c r="G24" s="94">
        <v>0.46</v>
      </c>
      <c r="H24" s="95">
        <v>0.95</v>
      </c>
      <c r="I24" s="92">
        <v>180</v>
      </c>
      <c r="J24" s="92">
        <v>80</v>
      </c>
      <c r="K24" s="96">
        <v>72</v>
      </c>
      <c r="L24" s="92">
        <f>AVERAGE(380,384,275,435,400,356,495,444,408)</f>
        <v>397.44444444444446</v>
      </c>
      <c r="M24" s="96" t="s">
        <v>863</v>
      </c>
      <c r="N24" s="92">
        <f>AVERAGE(510,600,500,450,575,599,485,625,575,650)</f>
        <v>556.9</v>
      </c>
      <c r="O24" s="92" t="s">
        <v>734</v>
      </c>
      <c r="P24" s="97">
        <v>415</v>
      </c>
      <c r="Q24" s="92" t="s">
        <v>881</v>
      </c>
      <c r="R24" s="96" t="s">
        <v>512</v>
      </c>
      <c r="S24" s="97" t="s">
        <v>16</v>
      </c>
      <c r="T24" s="92" t="s">
        <v>16</v>
      </c>
      <c r="U24" s="96" t="s">
        <v>16</v>
      </c>
      <c r="V24" s="16"/>
      <c r="W24" s="16"/>
    </row>
    <row r="25" spans="1:23" ht="12.6" customHeight="1">
      <c r="A25" s="91" t="s">
        <v>89</v>
      </c>
      <c r="B25" s="143" t="s">
        <v>649</v>
      </c>
      <c r="C25" s="92">
        <v>300</v>
      </c>
      <c r="D25" s="98">
        <v>2.8</v>
      </c>
      <c r="E25" s="92">
        <f t="shared" si="0"/>
        <v>480</v>
      </c>
      <c r="F25" s="93" t="s">
        <v>39</v>
      </c>
      <c r="G25" s="94">
        <v>2.5</v>
      </c>
      <c r="H25" s="95">
        <v>2.4</v>
      </c>
      <c r="I25" s="92">
        <v>214</v>
      </c>
      <c r="J25" s="92">
        <v>119</v>
      </c>
      <c r="K25" s="96">
        <v>46</v>
      </c>
      <c r="L25" s="92">
        <f>AVERAGE(777,910,1009)</f>
        <v>898.66666666666663</v>
      </c>
      <c r="M25" s="96" t="s">
        <v>1092</v>
      </c>
      <c r="N25" s="92">
        <f>AVERAGE(1598,1650,1582,1505,1700,1900,1600)</f>
        <v>1647.8571428571429</v>
      </c>
      <c r="O25" s="92" t="s">
        <v>881</v>
      </c>
      <c r="P25" s="97">
        <v>1900</v>
      </c>
      <c r="Q25" s="92" t="s">
        <v>734</v>
      </c>
      <c r="R25" s="96" t="s">
        <v>30</v>
      </c>
      <c r="S25" s="97">
        <v>2600</v>
      </c>
      <c r="T25" s="92" t="s">
        <v>765</v>
      </c>
      <c r="U25" s="96" t="s">
        <v>33</v>
      </c>
      <c r="V25" s="16"/>
      <c r="W25" s="16"/>
    </row>
    <row r="26" spans="1:23" ht="12.6" customHeight="1">
      <c r="A26" s="91" t="s">
        <v>89</v>
      </c>
      <c r="B26" s="143" t="s">
        <v>650</v>
      </c>
      <c r="C26" s="92">
        <v>500</v>
      </c>
      <c r="D26" s="98">
        <v>4.5</v>
      </c>
      <c r="E26" s="92">
        <f t="shared" si="0"/>
        <v>800</v>
      </c>
      <c r="F26" s="93" t="s">
        <v>39</v>
      </c>
      <c r="G26" s="94">
        <v>4</v>
      </c>
      <c r="H26" s="95">
        <v>3.1</v>
      </c>
      <c r="I26" s="92">
        <v>350</v>
      </c>
      <c r="J26" s="92">
        <v>123</v>
      </c>
      <c r="K26" s="96">
        <v>46</v>
      </c>
      <c r="L26" s="92">
        <f>AVERAGE(1284,1575,2303,2125)</f>
        <v>1821.75</v>
      </c>
      <c r="M26" s="96" t="s">
        <v>881</v>
      </c>
      <c r="N26" s="92">
        <f>AVERAGE(2466)</f>
        <v>2466</v>
      </c>
      <c r="O26" s="92" t="s">
        <v>881</v>
      </c>
      <c r="P26" s="97">
        <f>2999*CA.US</f>
        <v>2279.2400000000002</v>
      </c>
      <c r="Q26" s="92" t="s">
        <v>821</v>
      </c>
      <c r="R26" s="96" t="s">
        <v>623</v>
      </c>
      <c r="S26" s="97">
        <v>3802</v>
      </c>
      <c r="T26" s="92" t="s">
        <v>765</v>
      </c>
      <c r="U26" s="96" t="s">
        <v>30</v>
      </c>
      <c r="V26" s="16"/>
      <c r="W26" s="16"/>
    </row>
    <row r="27" spans="1:23" ht="12.6" customHeight="1">
      <c r="A27" s="101" t="s">
        <v>89</v>
      </c>
      <c r="B27" s="144" t="s">
        <v>651</v>
      </c>
      <c r="C27" s="102">
        <v>800</v>
      </c>
      <c r="D27" s="103">
        <v>5.6</v>
      </c>
      <c r="E27" s="102">
        <f t="shared" si="0"/>
        <v>1280</v>
      </c>
      <c r="F27" s="104" t="s">
        <v>39</v>
      </c>
      <c r="G27" s="105">
        <v>7</v>
      </c>
      <c r="H27" s="106">
        <v>4.74</v>
      </c>
      <c r="I27" s="102">
        <v>520</v>
      </c>
      <c r="J27" s="102">
        <v>157</v>
      </c>
      <c r="K27" s="107">
        <v>46</v>
      </c>
      <c r="L27" s="110">
        <f>AVERAGE(3350,3606,3550)</f>
        <v>3502</v>
      </c>
      <c r="M27" s="107" t="s">
        <v>821</v>
      </c>
      <c r="N27" s="102">
        <f>AVERAGE(4428,3870,4500)</f>
        <v>4266</v>
      </c>
      <c r="O27" s="102" t="s">
        <v>604</v>
      </c>
      <c r="P27" s="110">
        <v>2300</v>
      </c>
      <c r="Q27" s="102" t="s">
        <v>821</v>
      </c>
      <c r="R27" s="107" t="s">
        <v>32</v>
      </c>
      <c r="S27" s="140" t="s">
        <v>16</v>
      </c>
      <c r="T27" s="102" t="s">
        <v>16</v>
      </c>
      <c r="U27" s="107" t="s">
        <v>16</v>
      </c>
      <c r="V27" s="16"/>
      <c r="W27" s="16"/>
    </row>
    <row r="28" spans="1:23" ht="12.6" customHeight="1">
      <c r="A28" s="91" t="s">
        <v>89</v>
      </c>
      <c r="B28" s="143" t="s">
        <v>658</v>
      </c>
      <c r="C28" s="111" t="s">
        <v>91</v>
      </c>
      <c r="D28" s="98" t="s">
        <v>80</v>
      </c>
      <c r="E28" s="92" t="s">
        <v>92</v>
      </c>
      <c r="F28" s="93" t="s">
        <v>39</v>
      </c>
      <c r="G28" s="94">
        <v>0.28000000000000003</v>
      </c>
      <c r="H28" s="95">
        <v>0.61499999999999999</v>
      </c>
      <c r="I28" s="92">
        <v>100</v>
      </c>
      <c r="J28" s="92">
        <v>87</v>
      </c>
      <c r="K28" s="96" t="s">
        <v>40</v>
      </c>
      <c r="L28" s="92">
        <f>AVERAGE(360,340,350,355,405,450,400,400,330)</f>
        <v>376.66666666666669</v>
      </c>
      <c r="M28" s="96" t="s">
        <v>1001</v>
      </c>
      <c r="N28" s="92">
        <f>AVERAGE(480,655,475,650,685,600,405,510,504,602)</f>
        <v>556.6</v>
      </c>
      <c r="O28" s="92" t="s">
        <v>755</v>
      </c>
      <c r="P28" s="97">
        <v>490</v>
      </c>
      <c r="Q28" s="92" t="s">
        <v>862</v>
      </c>
      <c r="R28" s="96" t="s">
        <v>33</v>
      </c>
      <c r="S28" s="97">
        <v>710</v>
      </c>
      <c r="T28" s="92" t="s">
        <v>881</v>
      </c>
      <c r="U28" s="96" t="s">
        <v>757</v>
      </c>
      <c r="V28" s="16"/>
      <c r="W28" s="16"/>
    </row>
    <row r="29" spans="1:23" ht="12.6" customHeight="1">
      <c r="A29" s="91" t="s">
        <v>89</v>
      </c>
      <c r="B29" s="143" t="s">
        <v>855</v>
      </c>
      <c r="C29" s="111" t="s">
        <v>853</v>
      </c>
      <c r="D29" s="98">
        <v>2</v>
      </c>
      <c r="E29" s="92" t="s">
        <v>854</v>
      </c>
      <c r="F29" s="93" t="s">
        <v>39</v>
      </c>
      <c r="G29" s="94">
        <v>0.27900000000000003</v>
      </c>
      <c r="H29" s="95">
        <v>0.94</v>
      </c>
      <c r="I29" s="92">
        <v>122.7</v>
      </c>
      <c r="J29" s="92">
        <v>87.6</v>
      </c>
      <c r="K29" s="96">
        <v>82</v>
      </c>
      <c r="L29" s="92"/>
      <c r="M29" s="96"/>
      <c r="N29" s="129">
        <f>AVERAGE(850)</f>
        <v>850</v>
      </c>
      <c r="O29" s="92" t="s">
        <v>862</v>
      </c>
      <c r="P29" s="97"/>
      <c r="Q29" s="92"/>
      <c r="R29" s="96"/>
      <c r="S29" s="100">
        <v>1000</v>
      </c>
      <c r="T29" s="92" t="s">
        <v>862</v>
      </c>
      <c r="U29" s="96" t="s">
        <v>32</v>
      </c>
      <c r="V29" s="16"/>
      <c r="W29" s="16"/>
    </row>
    <row r="30" spans="1:23" ht="12.6" customHeight="1">
      <c r="A30" s="91" t="s">
        <v>89</v>
      </c>
      <c r="B30" s="143" t="s">
        <v>657</v>
      </c>
      <c r="C30" s="95" t="s">
        <v>55</v>
      </c>
      <c r="D30" s="98">
        <v>2.8</v>
      </c>
      <c r="E30" s="95" t="s">
        <v>95</v>
      </c>
      <c r="F30" s="93" t="s">
        <v>39</v>
      </c>
      <c r="G30" s="94">
        <v>0.39600000000000002</v>
      </c>
      <c r="H30" s="95">
        <v>0.7</v>
      </c>
      <c r="I30" s="92">
        <v>114.3</v>
      </c>
      <c r="J30" s="92">
        <v>88.9</v>
      </c>
      <c r="K30" s="96">
        <v>82</v>
      </c>
      <c r="L30" s="92">
        <f>AVERAGE(348,327,360,403,400,440,315,375)</f>
        <v>371</v>
      </c>
      <c r="M30" s="96" t="s">
        <v>862</v>
      </c>
      <c r="N30" s="92">
        <f>AVERAGE(460,529,500,440,550,515,535,603)</f>
        <v>516.5</v>
      </c>
      <c r="O30" s="36" t="s">
        <v>881</v>
      </c>
      <c r="P30" s="97">
        <v>450</v>
      </c>
      <c r="Q30" s="92" t="s">
        <v>821</v>
      </c>
      <c r="R30" s="96" t="s">
        <v>30</v>
      </c>
      <c r="S30" s="97">
        <v>364</v>
      </c>
      <c r="T30" s="92" t="s">
        <v>765</v>
      </c>
      <c r="U30" s="96" t="s">
        <v>361</v>
      </c>
      <c r="V30" s="16"/>
      <c r="W30" s="16"/>
    </row>
    <row r="31" spans="1:23" ht="12.6" customHeight="1">
      <c r="A31" s="91" t="s">
        <v>89</v>
      </c>
      <c r="B31" s="143" t="s">
        <v>719</v>
      </c>
      <c r="C31" s="95" t="s">
        <v>57</v>
      </c>
      <c r="D31" s="98">
        <v>4</v>
      </c>
      <c r="E31" s="95" t="s">
        <v>720</v>
      </c>
      <c r="F31" s="93" t="s">
        <v>39</v>
      </c>
      <c r="G31" s="94">
        <v>0.45</v>
      </c>
      <c r="H31" s="95">
        <v>0.88500000000000001</v>
      </c>
      <c r="I31" s="92">
        <v>109.4</v>
      </c>
      <c r="J31" s="92">
        <v>88.6</v>
      </c>
      <c r="K31" s="96">
        <v>82</v>
      </c>
      <c r="L31" s="92">
        <f>AVERAGE(0)</f>
        <v>0</v>
      </c>
      <c r="M31" s="96" t="s">
        <v>16</v>
      </c>
      <c r="N31" s="92">
        <f>AVERAGE(688,630)</f>
        <v>659</v>
      </c>
      <c r="O31" s="36" t="s">
        <v>1001</v>
      </c>
      <c r="P31" s="97">
        <f>800*CA.US</f>
        <v>608</v>
      </c>
      <c r="Q31" s="92" t="s">
        <v>862</v>
      </c>
      <c r="R31" s="96" t="s">
        <v>856</v>
      </c>
      <c r="S31" s="97" t="s">
        <v>16</v>
      </c>
      <c r="T31" s="92" t="s">
        <v>16</v>
      </c>
      <c r="U31" s="96" t="s">
        <v>16</v>
      </c>
      <c r="V31" s="16"/>
      <c r="W31" s="16"/>
    </row>
    <row r="32" spans="1:23" ht="12.6" customHeight="1">
      <c r="A32" s="91" t="s">
        <v>89</v>
      </c>
      <c r="B32" s="143" t="s">
        <v>656</v>
      </c>
      <c r="C32" s="95" t="s">
        <v>59</v>
      </c>
      <c r="D32" s="98">
        <v>2.8</v>
      </c>
      <c r="E32" s="95" t="s">
        <v>96</v>
      </c>
      <c r="F32" s="93" t="s">
        <v>39</v>
      </c>
      <c r="G32" s="94">
        <v>0.4</v>
      </c>
      <c r="H32" s="95">
        <v>0.64500000000000002</v>
      </c>
      <c r="I32" s="92">
        <v>101</v>
      </c>
      <c r="J32" s="92">
        <v>84</v>
      </c>
      <c r="K32" s="96">
        <v>77</v>
      </c>
      <c r="L32" s="92">
        <f>AVERAGE(188,205,240,236,215,218,203,215,280)</f>
        <v>222.22222222222223</v>
      </c>
      <c r="M32" s="96" t="s">
        <v>1001</v>
      </c>
      <c r="N32" s="92">
        <f>AVERAGE(235,309)</f>
        <v>272</v>
      </c>
      <c r="O32" s="92" t="s">
        <v>734</v>
      </c>
      <c r="P32" s="97">
        <v>254</v>
      </c>
      <c r="Q32" s="92" t="s">
        <v>734</v>
      </c>
      <c r="R32" s="96" t="s">
        <v>30</v>
      </c>
      <c r="S32" s="97" t="s">
        <v>16</v>
      </c>
      <c r="T32" s="92" t="s">
        <v>16</v>
      </c>
      <c r="U32" s="96" t="s">
        <v>16</v>
      </c>
      <c r="V32" s="16"/>
      <c r="W32" s="16"/>
    </row>
    <row r="33" spans="1:23" ht="12.6" customHeight="1">
      <c r="A33" s="91" t="s">
        <v>89</v>
      </c>
      <c r="B33" s="143" t="s">
        <v>774</v>
      </c>
      <c r="C33" s="95" t="s">
        <v>97</v>
      </c>
      <c r="D33" s="98" t="s">
        <v>98</v>
      </c>
      <c r="E33" s="95" t="s">
        <v>99</v>
      </c>
      <c r="F33" s="93" t="s">
        <v>39</v>
      </c>
      <c r="G33" s="112" t="s">
        <v>100</v>
      </c>
      <c r="H33" s="95">
        <v>1.65</v>
      </c>
      <c r="I33" s="92">
        <v>218</v>
      </c>
      <c r="J33" s="92">
        <v>94</v>
      </c>
      <c r="K33" s="96" t="s">
        <v>101</v>
      </c>
      <c r="L33" s="92">
        <f>AVERAGE(540,581,510,400,600,530,650,600,710,641,640)</f>
        <v>582</v>
      </c>
      <c r="M33" s="96" t="s">
        <v>837</v>
      </c>
      <c r="N33" s="92">
        <f>AVERAGE(700,750,850,761,710,798,692,723)</f>
        <v>748</v>
      </c>
      <c r="O33" s="92" t="s">
        <v>813</v>
      </c>
      <c r="P33" s="97">
        <v>550</v>
      </c>
      <c r="Q33" s="92" t="s">
        <v>821</v>
      </c>
      <c r="R33" s="96" t="s">
        <v>30</v>
      </c>
      <c r="S33" s="97">
        <v>695</v>
      </c>
      <c r="T33" s="92" t="s">
        <v>734</v>
      </c>
      <c r="U33" s="96" t="s">
        <v>30</v>
      </c>
      <c r="V33" s="16"/>
      <c r="W33" s="16"/>
    </row>
    <row r="34" spans="1:23" ht="12.6" customHeight="1">
      <c r="A34" s="91" t="s">
        <v>89</v>
      </c>
      <c r="B34" s="143" t="s">
        <v>655</v>
      </c>
      <c r="C34" s="95" t="s">
        <v>97</v>
      </c>
      <c r="D34" s="98" t="s">
        <v>98</v>
      </c>
      <c r="E34" s="95" t="s">
        <v>99</v>
      </c>
      <c r="F34" s="93" t="s">
        <v>39</v>
      </c>
      <c r="G34" s="94">
        <v>0.5</v>
      </c>
      <c r="H34" s="95">
        <v>1.96</v>
      </c>
      <c r="I34" s="92">
        <v>218.4</v>
      </c>
      <c r="J34" s="92">
        <v>104.1</v>
      </c>
      <c r="K34" s="96">
        <v>95</v>
      </c>
      <c r="L34" s="92">
        <f>AVERAGE(898,725,975,860,903,906,962)</f>
        <v>889.85714285714289</v>
      </c>
      <c r="M34" s="96" t="s">
        <v>1092</v>
      </c>
      <c r="N34" s="92">
        <f>AVERAGE(1100,1095,1202,1084,1279,887,955,1000,962)</f>
        <v>1062.6666666666667</v>
      </c>
      <c r="O34" s="92" t="s">
        <v>1008</v>
      </c>
      <c r="P34" s="97">
        <v>1010</v>
      </c>
      <c r="Q34" s="92" t="s">
        <v>881</v>
      </c>
      <c r="R34" s="96" t="s">
        <v>757</v>
      </c>
      <c r="S34" s="97" t="s">
        <v>16</v>
      </c>
      <c r="T34" s="92" t="s">
        <v>16</v>
      </c>
      <c r="U34" s="96" t="s">
        <v>16</v>
      </c>
      <c r="V34" s="16"/>
      <c r="W34" s="16"/>
    </row>
    <row r="35" spans="1:23" ht="12.6" customHeight="1">
      <c r="A35" s="91" t="s">
        <v>89</v>
      </c>
      <c r="B35" s="143" t="s">
        <v>952</v>
      </c>
      <c r="C35" s="95" t="s">
        <v>64</v>
      </c>
      <c r="D35" s="98">
        <v>2.8</v>
      </c>
      <c r="E35" s="95" t="s">
        <v>102</v>
      </c>
      <c r="F35" s="93" t="s">
        <v>39</v>
      </c>
      <c r="G35" s="94">
        <v>1.8</v>
      </c>
      <c r="H35" s="95">
        <v>1.39</v>
      </c>
      <c r="I35" s="92">
        <v>180</v>
      </c>
      <c r="J35" s="92">
        <v>86</v>
      </c>
      <c r="K35" s="96">
        <v>77</v>
      </c>
      <c r="L35" s="92">
        <f>AVERAGE(455,407,489,440,511,429,520,437)</f>
        <v>461</v>
      </c>
      <c r="M35" s="96" t="s">
        <v>1092</v>
      </c>
      <c r="N35" s="92">
        <f>AVERAGE(510,500,550,595,570,650,700,635,640)</f>
        <v>594.44444444444446</v>
      </c>
      <c r="O35" s="92" t="s">
        <v>1092</v>
      </c>
      <c r="P35" s="97">
        <v>610</v>
      </c>
      <c r="Q35" s="92" t="s">
        <v>862</v>
      </c>
      <c r="R35" s="96" t="s">
        <v>33</v>
      </c>
      <c r="S35" s="97">
        <v>725</v>
      </c>
      <c r="T35" s="92" t="s">
        <v>734</v>
      </c>
      <c r="U35" s="96" t="s">
        <v>30</v>
      </c>
      <c r="V35" s="16"/>
      <c r="W35" s="16"/>
    </row>
    <row r="36" spans="1:23" ht="12.6" customHeight="1">
      <c r="A36" s="91" t="s">
        <v>89</v>
      </c>
      <c r="B36" s="213" t="s">
        <v>654</v>
      </c>
      <c r="C36" s="95" t="s">
        <v>64</v>
      </c>
      <c r="D36" s="98">
        <v>2.8</v>
      </c>
      <c r="E36" s="95" t="s">
        <v>102</v>
      </c>
      <c r="F36" s="93" t="s">
        <v>39</v>
      </c>
      <c r="G36" s="94">
        <v>1.4</v>
      </c>
      <c r="H36" s="95">
        <v>1.43</v>
      </c>
      <c r="I36" s="92">
        <v>197.6</v>
      </c>
      <c r="J36" s="92">
        <v>86.4</v>
      </c>
      <c r="K36" s="96">
        <v>77</v>
      </c>
      <c r="L36" s="92">
        <f>AVERAGE(737,799,810,778,810,820,700,820,790,871,760)</f>
        <v>790.4545454545455</v>
      </c>
      <c r="M36" s="96" t="s">
        <v>1001</v>
      </c>
      <c r="N36" s="92">
        <f>AVERAGE(899,849,915,953,1009,930,973,967)</f>
        <v>936.875</v>
      </c>
      <c r="O36" s="92" t="s">
        <v>862</v>
      </c>
      <c r="P36" s="97">
        <v>960</v>
      </c>
      <c r="Q36" s="92" t="s">
        <v>881</v>
      </c>
      <c r="R36" s="96" t="s">
        <v>30</v>
      </c>
      <c r="S36" s="97">
        <v>1030</v>
      </c>
      <c r="T36" s="92" t="s">
        <v>765</v>
      </c>
      <c r="U36" s="96" t="s">
        <v>757</v>
      </c>
      <c r="V36" s="16"/>
      <c r="W36" s="16"/>
    </row>
    <row r="37" spans="1:23" ht="12.6" customHeight="1">
      <c r="A37" s="91" t="s">
        <v>89</v>
      </c>
      <c r="B37" s="143" t="s">
        <v>704</v>
      </c>
      <c r="C37" s="95" t="s">
        <v>77</v>
      </c>
      <c r="D37" s="92">
        <v>4</v>
      </c>
      <c r="E37" s="95" t="s">
        <v>238</v>
      </c>
      <c r="F37" s="93" t="s">
        <v>39</v>
      </c>
      <c r="G37" s="94">
        <v>1.8</v>
      </c>
      <c r="H37" s="95">
        <v>1.48</v>
      </c>
      <c r="I37" s="92">
        <v>224</v>
      </c>
      <c r="J37" s="92">
        <v>92</v>
      </c>
      <c r="K37" s="96">
        <v>82</v>
      </c>
      <c r="L37" s="92">
        <f>AVERAGE(580,431,550,523,490,504,594,650,620)</f>
        <v>549.11111111111109</v>
      </c>
      <c r="M37" s="96" t="s">
        <v>837</v>
      </c>
      <c r="N37" s="92">
        <f>AVERAGE(780,649,695,750,722,750,700,700)</f>
        <v>718.25</v>
      </c>
      <c r="O37" s="92" t="s">
        <v>765</v>
      </c>
      <c r="P37" s="97">
        <f>900*CA.US</f>
        <v>684</v>
      </c>
      <c r="Q37" s="92" t="s">
        <v>862</v>
      </c>
      <c r="R37" s="96" t="s">
        <v>856</v>
      </c>
      <c r="S37" s="97" t="s">
        <v>16</v>
      </c>
      <c r="T37" s="92" t="s">
        <v>16</v>
      </c>
      <c r="U37" s="96" t="s">
        <v>16</v>
      </c>
      <c r="V37" s="16"/>
      <c r="W37" s="16"/>
    </row>
    <row r="38" spans="1:23" ht="12.6" customHeight="1">
      <c r="A38" s="91" t="s">
        <v>89</v>
      </c>
      <c r="B38" s="143" t="s">
        <v>580</v>
      </c>
      <c r="C38" s="95" t="s">
        <v>103</v>
      </c>
      <c r="D38" s="98">
        <v>2.8</v>
      </c>
      <c r="E38" s="95" t="s">
        <v>104</v>
      </c>
      <c r="F38" s="93" t="s">
        <v>39</v>
      </c>
      <c r="G38" s="94">
        <v>2.5</v>
      </c>
      <c r="H38" s="95">
        <v>2.6</v>
      </c>
      <c r="I38" s="92">
        <v>268.5</v>
      </c>
      <c r="J38" s="92">
        <v>112.8</v>
      </c>
      <c r="K38" s="96">
        <v>105</v>
      </c>
      <c r="L38" s="92">
        <f>AVERAGE(700,895,895,880,792)</f>
        <v>832.4</v>
      </c>
      <c r="M38" s="96" t="s">
        <v>881</v>
      </c>
      <c r="N38" s="92">
        <f>AVERAGE(1326,1295,1295,1600,1317,1650)</f>
        <v>1413.8333333333333</v>
      </c>
      <c r="O38" s="92" t="s">
        <v>1008</v>
      </c>
      <c r="P38" s="97">
        <v>1360</v>
      </c>
      <c r="Q38" s="92" t="s">
        <v>821</v>
      </c>
      <c r="R38" s="96" t="s">
        <v>30</v>
      </c>
      <c r="S38" s="97">
        <v>1600</v>
      </c>
      <c r="T38" s="92" t="s">
        <v>606</v>
      </c>
      <c r="U38" s="96" t="s">
        <v>30</v>
      </c>
      <c r="V38" s="16"/>
      <c r="W38" s="16"/>
    </row>
    <row r="39" spans="1:23" ht="12.6" customHeight="1">
      <c r="A39" s="91" t="s">
        <v>89</v>
      </c>
      <c r="B39" s="143" t="s">
        <v>579</v>
      </c>
      <c r="C39" s="95" t="s">
        <v>103</v>
      </c>
      <c r="D39" s="98">
        <v>2.8</v>
      </c>
      <c r="E39" s="95" t="s">
        <v>104</v>
      </c>
      <c r="F39" s="93" t="s">
        <v>39</v>
      </c>
      <c r="G39" s="139" t="s">
        <v>561</v>
      </c>
      <c r="H39" s="95">
        <v>2.95</v>
      </c>
      <c r="I39" s="92">
        <v>289.2</v>
      </c>
      <c r="J39" s="92">
        <v>114</v>
      </c>
      <c r="K39" s="96">
        <v>105</v>
      </c>
      <c r="L39" s="92">
        <f>AVERAGE(1599,1677,1730,1499,1600,1655)</f>
        <v>1626.6666666666667</v>
      </c>
      <c r="M39" s="96" t="s">
        <v>881</v>
      </c>
      <c r="N39" s="92">
        <f>AVERAGE(2500,2147,1898,2034,2250,2091,1978,2250,2240,2240)</f>
        <v>2162.8000000000002</v>
      </c>
      <c r="O39" s="96" t="s">
        <v>755</v>
      </c>
      <c r="P39" s="97">
        <v>1700</v>
      </c>
      <c r="Q39" s="92" t="s">
        <v>821</v>
      </c>
      <c r="R39" s="96" t="s">
        <v>33</v>
      </c>
      <c r="S39" s="100">
        <v>2700</v>
      </c>
      <c r="T39" s="92" t="s">
        <v>637</v>
      </c>
      <c r="U39" s="96" t="s">
        <v>32</v>
      </c>
      <c r="V39" s="16"/>
      <c r="W39" s="16"/>
    </row>
    <row r="40" spans="1:23" ht="12.6" customHeight="1">
      <c r="A40" s="91" t="s">
        <v>89</v>
      </c>
      <c r="B40" s="143" t="s">
        <v>827</v>
      </c>
      <c r="C40" s="95" t="s">
        <v>103</v>
      </c>
      <c r="D40" s="98">
        <v>2.8</v>
      </c>
      <c r="E40" s="95" t="s">
        <v>104</v>
      </c>
      <c r="F40" s="93" t="s">
        <v>39</v>
      </c>
      <c r="G40" s="94">
        <v>1.5</v>
      </c>
      <c r="H40" s="95">
        <v>3.39</v>
      </c>
      <c r="I40" s="92">
        <v>291</v>
      </c>
      <c r="J40" s="92">
        <v>121.4</v>
      </c>
      <c r="K40" s="96">
        <v>105</v>
      </c>
      <c r="L40" s="92">
        <f>AVERAGE(2025,2300,2430,2450,2196,2107)</f>
        <v>2251.3333333333335</v>
      </c>
      <c r="M40" s="96" t="s">
        <v>1092</v>
      </c>
      <c r="N40" s="92">
        <f>AVERAGE(2452,2430,2800)</f>
        <v>2560.6666666666665</v>
      </c>
      <c r="O40" s="92" t="s">
        <v>881</v>
      </c>
      <c r="P40" s="97">
        <v>2490</v>
      </c>
      <c r="Q40" s="92" t="s">
        <v>881</v>
      </c>
      <c r="R40" s="96" t="s">
        <v>757</v>
      </c>
      <c r="S40" s="100">
        <v>3600</v>
      </c>
      <c r="T40" s="92" t="s">
        <v>765</v>
      </c>
      <c r="U40" s="96" t="s">
        <v>30</v>
      </c>
      <c r="V40" s="16"/>
      <c r="W40" s="16"/>
    </row>
    <row r="41" spans="1:23" ht="12.6" customHeight="1">
      <c r="A41" s="91" t="s">
        <v>89</v>
      </c>
      <c r="B41" s="143" t="s">
        <v>953</v>
      </c>
      <c r="C41" s="95" t="s">
        <v>255</v>
      </c>
      <c r="D41" s="98" t="s">
        <v>582</v>
      </c>
      <c r="E41" s="95" t="s">
        <v>256</v>
      </c>
      <c r="F41" s="93" t="s">
        <v>39</v>
      </c>
      <c r="G41" s="94">
        <v>2.2000000000000002</v>
      </c>
      <c r="H41" s="95">
        <v>1.91</v>
      </c>
      <c r="I41" s="92">
        <v>252</v>
      </c>
      <c r="J41" s="92">
        <v>74.7</v>
      </c>
      <c r="K41" s="96">
        <v>58</v>
      </c>
      <c r="L41" s="92">
        <f>AVERAGE(338,391,420,480,540,510,495,525)</f>
        <v>462.375</v>
      </c>
      <c r="M41" s="96" t="s">
        <v>881</v>
      </c>
      <c r="N41" s="92">
        <f>AVERAGE(608,610,636,719,710)</f>
        <v>656.6</v>
      </c>
      <c r="O41" s="92" t="s">
        <v>1092</v>
      </c>
      <c r="P41" s="97">
        <v>500</v>
      </c>
      <c r="Q41" s="92" t="s">
        <v>881</v>
      </c>
      <c r="R41" s="96" t="s">
        <v>33</v>
      </c>
      <c r="S41" s="97">
        <v>725</v>
      </c>
      <c r="T41" s="92" t="s">
        <v>765</v>
      </c>
      <c r="U41" s="96" t="s">
        <v>29</v>
      </c>
      <c r="V41" s="16"/>
      <c r="W41" s="16"/>
    </row>
    <row r="42" spans="1:23" ht="12.6" customHeight="1">
      <c r="A42" s="91" t="s">
        <v>89</v>
      </c>
      <c r="B42" s="143" t="s">
        <v>845</v>
      </c>
      <c r="C42" s="95" t="s">
        <v>698</v>
      </c>
      <c r="D42" s="98" t="s">
        <v>582</v>
      </c>
      <c r="E42" s="95" t="s">
        <v>699</v>
      </c>
      <c r="F42" s="93" t="s">
        <v>39</v>
      </c>
      <c r="G42" s="94">
        <v>2.8</v>
      </c>
      <c r="H42" s="95">
        <v>1.93</v>
      </c>
      <c r="I42" s="92">
        <v>260.10000000000002</v>
      </c>
      <c r="J42" s="92">
        <v>105</v>
      </c>
      <c r="K42" s="96">
        <v>95</v>
      </c>
      <c r="L42" s="92">
        <f>AVERAGE(730,820)</f>
        <v>775</v>
      </c>
      <c r="M42" s="96" t="s">
        <v>1001</v>
      </c>
      <c r="N42" s="92">
        <f>AVERAGE(921,900,850)</f>
        <v>890.33333333333337</v>
      </c>
      <c r="O42" s="92" t="s">
        <v>1008</v>
      </c>
      <c r="P42" s="97" t="s">
        <v>16</v>
      </c>
      <c r="Q42" s="92" t="s">
        <v>16</v>
      </c>
      <c r="R42" s="96" t="s">
        <v>16</v>
      </c>
      <c r="S42" s="100">
        <v>1090</v>
      </c>
      <c r="T42" s="92" t="s">
        <v>826</v>
      </c>
      <c r="U42" s="96" t="s">
        <v>32</v>
      </c>
      <c r="V42" s="16"/>
      <c r="W42" s="16"/>
    </row>
    <row r="43" spans="1:23" ht="12.6" customHeight="1">
      <c r="A43" s="91" t="s">
        <v>89</v>
      </c>
      <c r="B43" s="143" t="s">
        <v>846</v>
      </c>
      <c r="C43" s="95" t="s">
        <v>698</v>
      </c>
      <c r="D43" s="98" t="s">
        <v>582</v>
      </c>
      <c r="E43" s="95" t="s">
        <v>699</v>
      </c>
      <c r="F43" s="93" t="s">
        <v>39</v>
      </c>
      <c r="G43" s="94">
        <v>2.86</v>
      </c>
      <c r="H43" s="95">
        <v>2.86</v>
      </c>
      <c r="I43" s="92">
        <v>290.2</v>
      </c>
      <c r="J43" s="92">
        <v>121</v>
      </c>
      <c r="K43" s="96">
        <v>105</v>
      </c>
      <c r="L43" s="92">
        <f>AVERAGE(1530,1683)</f>
        <v>1606.5</v>
      </c>
      <c r="M43" s="96" t="s">
        <v>1001</v>
      </c>
      <c r="N43" s="129">
        <f>AVERAGE(1607,1719)</f>
        <v>1663</v>
      </c>
      <c r="O43" s="92" t="s">
        <v>1001</v>
      </c>
      <c r="P43" s="97" t="s">
        <v>16</v>
      </c>
      <c r="Q43" s="92" t="s">
        <v>16</v>
      </c>
      <c r="R43" s="96" t="s">
        <v>16</v>
      </c>
      <c r="S43" s="100">
        <v>2000</v>
      </c>
      <c r="T43" s="92" t="s">
        <v>826</v>
      </c>
      <c r="U43" s="96" t="s">
        <v>32</v>
      </c>
      <c r="V43" s="16"/>
      <c r="W43" s="16"/>
    </row>
    <row r="44" spans="1:23" ht="12.6" customHeight="1">
      <c r="A44" s="91" t="s">
        <v>89</v>
      </c>
      <c r="B44" s="143" t="s">
        <v>568</v>
      </c>
      <c r="C44" s="95" t="s">
        <v>115</v>
      </c>
      <c r="D44" s="98">
        <v>2.8</v>
      </c>
      <c r="E44" s="95" t="s">
        <v>285</v>
      </c>
      <c r="F44" s="93" t="s">
        <v>39</v>
      </c>
      <c r="G44" s="94" t="s">
        <v>288</v>
      </c>
      <c r="H44" s="98">
        <v>15.7</v>
      </c>
      <c r="I44" s="92">
        <v>726</v>
      </c>
      <c r="J44" s="92">
        <v>236</v>
      </c>
      <c r="K44" s="96" t="s">
        <v>287</v>
      </c>
      <c r="L44" s="92">
        <f>AVERAGE(0)</f>
        <v>0</v>
      </c>
      <c r="M44" s="96" t="s">
        <v>16</v>
      </c>
      <c r="N44" s="92" t="s">
        <v>286</v>
      </c>
      <c r="O44" s="92" t="s">
        <v>289</v>
      </c>
      <c r="P44" s="97" t="s">
        <v>16</v>
      </c>
      <c r="Q44" s="92" t="s">
        <v>16</v>
      </c>
      <c r="R44" s="96" t="s">
        <v>16</v>
      </c>
      <c r="S44" s="97" t="s">
        <v>969</v>
      </c>
      <c r="T44" s="92" t="s">
        <v>999</v>
      </c>
      <c r="U44" s="96" t="s">
        <v>32</v>
      </c>
      <c r="V44" s="16"/>
      <c r="W44" s="16"/>
    </row>
    <row r="45" spans="1:23" ht="12.6" customHeight="1">
      <c r="A45" s="101" t="s">
        <v>89</v>
      </c>
      <c r="B45" s="144" t="s">
        <v>443</v>
      </c>
      <c r="C45" s="102" t="s">
        <v>105</v>
      </c>
      <c r="D45" s="103">
        <v>5.6</v>
      </c>
      <c r="E45" s="102" t="s">
        <v>106</v>
      </c>
      <c r="F45" s="104" t="s">
        <v>39</v>
      </c>
      <c r="G45" s="105">
        <v>6</v>
      </c>
      <c r="H45" s="106">
        <v>5.87</v>
      </c>
      <c r="I45" s="102">
        <v>541.5</v>
      </c>
      <c r="J45" s="102">
        <v>165.5</v>
      </c>
      <c r="K45" s="107" t="s">
        <v>107</v>
      </c>
      <c r="L45" s="110">
        <f>AVERAGE(4198,4495,4000,5149,3850)</f>
        <v>4338.3999999999996</v>
      </c>
      <c r="M45" s="107" t="s">
        <v>813</v>
      </c>
      <c r="N45" s="102">
        <f>AVERAGE(6344,5149,5500,5355)</f>
        <v>5587</v>
      </c>
      <c r="O45" s="102" t="s">
        <v>810</v>
      </c>
      <c r="P45" s="110" t="s">
        <v>16</v>
      </c>
      <c r="Q45" s="102" t="s">
        <v>16</v>
      </c>
      <c r="R45" s="107" t="s">
        <v>16</v>
      </c>
      <c r="S45" s="110">
        <v>4850</v>
      </c>
      <c r="T45" s="102" t="s">
        <v>529</v>
      </c>
      <c r="U45" s="107" t="s">
        <v>33</v>
      </c>
      <c r="V45" s="16"/>
      <c r="W45" s="16"/>
    </row>
    <row r="46" spans="1:23" s="37" customFormat="1" ht="12.6" customHeight="1">
      <c r="A46" s="121" t="s">
        <v>348</v>
      </c>
      <c r="B46" s="68"/>
      <c r="C46" s="28" t="s">
        <v>16</v>
      </c>
      <c r="D46" s="69" t="s">
        <v>16</v>
      </c>
      <c r="E46" s="28" t="s">
        <v>16</v>
      </c>
      <c r="F46" s="72" t="s">
        <v>16</v>
      </c>
      <c r="G46" s="70" t="s">
        <v>16</v>
      </c>
      <c r="H46" s="71" t="s">
        <v>16</v>
      </c>
      <c r="I46" s="28" t="s">
        <v>16</v>
      </c>
      <c r="J46" s="28" t="s">
        <v>16</v>
      </c>
      <c r="K46" s="28" t="s">
        <v>16</v>
      </c>
      <c r="L46" s="28" t="s">
        <v>16</v>
      </c>
      <c r="M46" s="28" t="s">
        <v>16</v>
      </c>
      <c r="N46" s="28" t="s">
        <v>16</v>
      </c>
      <c r="O46" s="28" t="s">
        <v>16</v>
      </c>
      <c r="P46" s="28" t="s">
        <v>16</v>
      </c>
      <c r="Q46" s="28" t="s">
        <v>16</v>
      </c>
      <c r="R46" s="28" t="s">
        <v>16</v>
      </c>
      <c r="S46" s="28" t="s">
        <v>16</v>
      </c>
      <c r="T46" s="28" t="s">
        <v>16</v>
      </c>
      <c r="U46" s="28" t="s">
        <v>16</v>
      </c>
    </row>
    <row r="47" spans="1:23" ht="12.6" customHeight="1">
      <c r="A47" s="91" t="s">
        <v>108</v>
      </c>
      <c r="B47" s="57" t="s">
        <v>338</v>
      </c>
      <c r="C47" s="92">
        <v>14</v>
      </c>
      <c r="D47" s="98">
        <v>2.8</v>
      </c>
      <c r="E47" s="92">
        <f t="shared" ref="E47:E64" si="1">1.6*C47</f>
        <v>22.400000000000002</v>
      </c>
      <c r="F47" s="93" t="s">
        <v>39</v>
      </c>
      <c r="G47" s="94">
        <v>0.2</v>
      </c>
      <c r="H47" s="95">
        <v>0.66</v>
      </c>
      <c r="I47" s="92">
        <v>89</v>
      </c>
      <c r="J47" s="92">
        <v>87</v>
      </c>
      <c r="K47" s="96" t="s">
        <v>40</v>
      </c>
      <c r="L47" s="92">
        <f>AVERAGE(320,300,392,390,350,395,419)</f>
        <v>366.57142857142856</v>
      </c>
      <c r="M47" s="96" t="s">
        <v>765</v>
      </c>
      <c r="N47" s="99">
        <f>AVERAGE(447)</f>
        <v>447</v>
      </c>
      <c r="O47" s="92" t="s">
        <v>734</v>
      </c>
      <c r="P47" s="97">
        <v>465</v>
      </c>
      <c r="Q47" s="92" t="s">
        <v>862</v>
      </c>
      <c r="R47" s="96" t="s">
        <v>512</v>
      </c>
      <c r="S47" s="115">
        <v>500</v>
      </c>
      <c r="T47" s="116" t="s">
        <v>674</v>
      </c>
      <c r="U47" s="117" t="s">
        <v>671</v>
      </c>
      <c r="V47" s="16"/>
      <c r="W47" s="16"/>
    </row>
    <row r="48" spans="1:23" ht="12.6" customHeight="1">
      <c r="A48" s="91" t="s">
        <v>108</v>
      </c>
      <c r="B48" s="57" t="s">
        <v>410</v>
      </c>
      <c r="C48" s="92">
        <v>17</v>
      </c>
      <c r="D48" s="98">
        <v>3.5</v>
      </c>
      <c r="E48" s="92">
        <f t="shared" si="1"/>
        <v>27.200000000000003</v>
      </c>
      <c r="F48" s="93" t="s">
        <v>109</v>
      </c>
      <c r="G48" s="94">
        <v>0.25</v>
      </c>
      <c r="H48" s="95">
        <v>0.27</v>
      </c>
      <c r="I48" s="92">
        <v>45</v>
      </c>
      <c r="J48" s="92">
        <v>70</v>
      </c>
      <c r="K48" s="96" t="s">
        <v>370</v>
      </c>
      <c r="L48" s="97">
        <f>AVERAGE(153,139,133,210,143,158,168,160,154,175,153)</f>
        <v>158.72727272727272</v>
      </c>
      <c r="M48" s="96" t="s">
        <v>881</v>
      </c>
      <c r="N48" s="92">
        <f>AVERAGE(174,190,219,238,247,213,205)</f>
        <v>212.28571428571428</v>
      </c>
      <c r="O48" s="96" t="s">
        <v>1008</v>
      </c>
      <c r="P48" s="97">
        <v>225</v>
      </c>
      <c r="Q48" s="92" t="s">
        <v>734</v>
      </c>
      <c r="R48" s="96" t="s">
        <v>30</v>
      </c>
      <c r="S48" s="97">
        <v>250</v>
      </c>
      <c r="T48" s="92" t="s">
        <v>445</v>
      </c>
      <c r="U48" s="96" t="s">
        <v>32</v>
      </c>
      <c r="V48" s="16"/>
      <c r="W48" s="16"/>
    </row>
    <row r="49" spans="1:23" ht="12.6" customHeight="1">
      <c r="A49" s="91" t="s">
        <v>108</v>
      </c>
      <c r="B49" s="57" t="s">
        <v>409</v>
      </c>
      <c r="C49" s="92">
        <v>17</v>
      </c>
      <c r="D49" s="98">
        <v>3.5</v>
      </c>
      <c r="E49" s="92">
        <f t="shared" si="1"/>
        <v>27.200000000000003</v>
      </c>
      <c r="F49" s="93" t="s">
        <v>109</v>
      </c>
      <c r="G49" s="94">
        <v>0.25</v>
      </c>
      <c r="H49" s="95">
        <v>0.27</v>
      </c>
      <c r="I49" s="92">
        <v>48</v>
      </c>
      <c r="J49" s="92">
        <v>71</v>
      </c>
      <c r="K49" s="96" t="s">
        <v>370</v>
      </c>
      <c r="L49" s="97">
        <f>AVERAGE(126,200,155,210,168,203,179,158,184,194,222)</f>
        <v>181.72727272727272</v>
      </c>
      <c r="M49" s="96" t="s">
        <v>1001</v>
      </c>
      <c r="N49" s="92">
        <f>AVERAGE(250,268,285,260,255,252,275,203)</f>
        <v>256</v>
      </c>
      <c r="O49" s="92" t="s">
        <v>1092</v>
      </c>
      <c r="P49" s="97">
        <f>269*CA.US</f>
        <v>204.44</v>
      </c>
      <c r="Q49" s="92" t="s">
        <v>999</v>
      </c>
      <c r="R49" s="96" t="s">
        <v>623</v>
      </c>
      <c r="S49" s="97">
        <v>265</v>
      </c>
      <c r="T49" s="92" t="s">
        <v>513</v>
      </c>
      <c r="U49" s="96" t="s">
        <v>30</v>
      </c>
      <c r="V49" s="16"/>
      <c r="W49" s="16"/>
    </row>
    <row r="50" spans="1:23" ht="12.6" customHeight="1">
      <c r="A50" s="91" t="s">
        <v>108</v>
      </c>
      <c r="B50" s="143" t="s">
        <v>871</v>
      </c>
      <c r="C50" s="92">
        <v>35</v>
      </c>
      <c r="D50" s="98">
        <v>1.8</v>
      </c>
      <c r="E50" s="92">
        <f t="shared" si="1"/>
        <v>56</v>
      </c>
      <c r="F50" s="93" t="s">
        <v>39</v>
      </c>
      <c r="G50" s="94">
        <v>0.2</v>
      </c>
      <c r="H50" s="95">
        <v>0.48</v>
      </c>
      <c r="I50" s="92">
        <v>80.8</v>
      </c>
      <c r="J50" s="92">
        <v>80.400000000000006</v>
      </c>
      <c r="K50" s="96">
        <v>67</v>
      </c>
      <c r="L50" s="92">
        <f>AVERAGE(406,410)</f>
        <v>408</v>
      </c>
      <c r="M50" s="96" t="s">
        <v>1092</v>
      </c>
      <c r="N50" s="276">
        <f>AVERAGE(600,600)</f>
        <v>600</v>
      </c>
      <c r="O50" s="92" t="s">
        <v>1092</v>
      </c>
      <c r="P50" s="97" t="s">
        <v>16</v>
      </c>
      <c r="Q50" s="92" t="s">
        <v>16</v>
      </c>
      <c r="R50" s="96" t="s">
        <v>16</v>
      </c>
      <c r="S50" s="97">
        <v>530</v>
      </c>
      <c r="T50" s="92" t="s">
        <v>881</v>
      </c>
      <c r="U50" s="96" t="s">
        <v>33</v>
      </c>
      <c r="V50" s="16"/>
      <c r="W50" s="16"/>
    </row>
    <row r="51" spans="1:23" ht="12.6" customHeight="1">
      <c r="A51" s="91" t="s">
        <v>108</v>
      </c>
      <c r="B51" s="143" t="s">
        <v>858</v>
      </c>
      <c r="C51" s="92">
        <v>45</v>
      </c>
      <c r="D51" s="98">
        <v>1.8</v>
      </c>
      <c r="E51" s="92">
        <f t="shared" si="1"/>
        <v>72</v>
      </c>
      <c r="F51" s="93" t="s">
        <v>39</v>
      </c>
      <c r="G51" s="94">
        <v>0.28999999999999998</v>
      </c>
      <c r="H51" s="95">
        <v>0.54400000000000004</v>
      </c>
      <c r="I51" s="92">
        <v>91.4</v>
      </c>
      <c r="J51" s="92">
        <v>80.400000000000006</v>
      </c>
      <c r="K51" s="96">
        <v>67</v>
      </c>
      <c r="L51" s="92">
        <f t="shared" ref="L51" si="2">AVERAGE(0)</f>
        <v>0</v>
      </c>
      <c r="M51" s="96" t="s">
        <v>16</v>
      </c>
      <c r="N51" s="129">
        <f>AVERAGE(500,500,500,500)</f>
        <v>500</v>
      </c>
      <c r="O51" s="92" t="s">
        <v>1092</v>
      </c>
      <c r="P51" s="97" t="s">
        <v>16</v>
      </c>
      <c r="Q51" s="92" t="s">
        <v>16</v>
      </c>
      <c r="R51" s="96" t="s">
        <v>16</v>
      </c>
      <c r="S51" s="97">
        <v>450</v>
      </c>
      <c r="T51" s="92" t="s">
        <v>881</v>
      </c>
      <c r="U51" s="96" t="s">
        <v>33</v>
      </c>
      <c r="V51" s="16"/>
      <c r="W51" s="16"/>
    </row>
    <row r="52" spans="1:23" ht="12.6" customHeight="1">
      <c r="A52" s="91" t="s">
        <v>108</v>
      </c>
      <c r="B52" s="143" t="s">
        <v>973</v>
      </c>
      <c r="C52" s="92">
        <v>85</v>
      </c>
      <c r="D52" s="98">
        <v>1.8</v>
      </c>
      <c r="E52" s="92">
        <f t="shared" si="1"/>
        <v>136</v>
      </c>
      <c r="F52" s="93" t="s">
        <v>39</v>
      </c>
      <c r="G52" s="94">
        <v>0.8</v>
      </c>
      <c r="H52" s="95">
        <v>0.7</v>
      </c>
      <c r="I52" s="92">
        <v>91</v>
      </c>
      <c r="J52" s="92">
        <v>85</v>
      </c>
      <c r="K52" s="96">
        <v>67</v>
      </c>
      <c r="L52" s="92">
        <f>AVERAGE(630)</f>
        <v>630</v>
      </c>
      <c r="M52" s="96" t="s">
        <v>1092</v>
      </c>
      <c r="N52" s="129">
        <f>AVERAGE(749,749,749)</f>
        <v>749</v>
      </c>
      <c r="O52" s="92" t="s">
        <v>1092</v>
      </c>
      <c r="P52" s="97" t="s">
        <v>16</v>
      </c>
      <c r="Q52" s="92" t="s">
        <v>16</v>
      </c>
      <c r="R52" s="96" t="s">
        <v>16</v>
      </c>
      <c r="S52" s="97" t="s">
        <v>16</v>
      </c>
      <c r="T52" s="92" t="s">
        <v>16</v>
      </c>
      <c r="U52" s="96" t="s">
        <v>16</v>
      </c>
      <c r="V52" s="16"/>
      <c r="W52" s="16"/>
    </row>
    <row r="53" spans="1:23" ht="12.6" customHeight="1">
      <c r="A53" s="91" t="s">
        <v>108</v>
      </c>
      <c r="B53" s="57" t="s">
        <v>597</v>
      </c>
      <c r="C53" s="92">
        <v>90</v>
      </c>
      <c r="D53" s="98">
        <v>2.5</v>
      </c>
      <c r="E53" s="92">
        <f t="shared" si="1"/>
        <v>144</v>
      </c>
      <c r="F53" s="93" t="s">
        <v>109</v>
      </c>
      <c r="G53" s="94">
        <v>0.39</v>
      </c>
      <c r="H53" s="95">
        <v>0.41</v>
      </c>
      <c r="I53" s="92">
        <v>102</v>
      </c>
      <c r="J53" s="92">
        <v>68</v>
      </c>
      <c r="K53" s="96">
        <v>55</v>
      </c>
      <c r="L53" s="97">
        <f>AVERAGE(128,130,124,140,131,135,129,126,130)</f>
        <v>130.33333333333334</v>
      </c>
      <c r="M53" s="96" t="s">
        <v>1092</v>
      </c>
      <c r="N53" s="92">
        <f>AVERAGE(286,295,199)</f>
        <v>260</v>
      </c>
      <c r="O53" s="92" t="s">
        <v>821</v>
      </c>
      <c r="P53" s="97">
        <v>130</v>
      </c>
      <c r="Q53" s="92" t="s">
        <v>821</v>
      </c>
      <c r="R53" s="96" t="s">
        <v>33</v>
      </c>
      <c r="S53" s="25">
        <v>225</v>
      </c>
      <c r="T53" s="16" t="s">
        <v>765</v>
      </c>
      <c r="U53" s="31" t="s">
        <v>35</v>
      </c>
      <c r="V53" s="16"/>
      <c r="W53" s="16"/>
    </row>
    <row r="54" spans="1:23" ht="12.6" customHeight="1">
      <c r="A54" s="91" t="s">
        <v>108</v>
      </c>
      <c r="B54" s="143" t="s">
        <v>974</v>
      </c>
      <c r="C54" s="92">
        <v>90</v>
      </c>
      <c r="D54" s="98">
        <v>2.8</v>
      </c>
      <c r="E54" s="92">
        <f t="shared" si="1"/>
        <v>144</v>
      </c>
      <c r="F54" s="93" t="s">
        <v>39</v>
      </c>
      <c r="G54" s="94">
        <v>0.28999999999999998</v>
      </c>
      <c r="H54" s="95">
        <v>0.4</v>
      </c>
      <c r="I54" s="92">
        <v>97</v>
      </c>
      <c r="J54" s="92">
        <v>71</v>
      </c>
      <c r="K54" s="96">
        <v>55</v>
      </c>
      <c r="L54" s="97">
        <f>AVERAGE(125,182,187,167,180,131,210,153,239,189,206)</f>
        <v>179</v>
      </c>
      <c r="M54" s="96" t="s">
        <v>1092</v>
      </c>
      <c r="N54" s="92">
        <f>AVERAGE(339,415,381,315,332,314,315)</f>
        <v>344.42857142857144</v>
      </c>
      <c r="O54" s="92" t="s">
        <v>881</v>
      </c>
      <c r="P54" s="97">
        <f>199*CA.US</f>
        <v>151.24</v>
      </c>
      <c r="Q54" s="92" t="s">
        <v>852</v>
      </c>
      <c r="R54" s="96" t="s">
        <v>623</v>
      </c>
      <c r="S54" s="25">
        <v>450</v>
      </c>
      <c r="T54" s="16" t="s">
        <v>881</v>
      </c>
      <c r="U54" s="31" t="s">
        <v>29</v>
      </c>
      <c r="V54" s="16"/>
      <c r="W54" s="16"/>
    </row>
    <row r="55" spans="1:23" ht="12.6" customHeight="1">
      <c r="A55" s="91" t="s">
        <v>108</v>
      </c>
      <c r="B55" s="143" t="s">
        <v>975</v>
      </c>
      <c r="C55" s="92">
        <v>90</v>
      </c>
      <c r="D55" s="98">
        <v>2.8</v>
      </c>
      <c r="E55" s="92">
        <f t="shared" si="1"/>
        <v>144</v>
      </c>
      <c r="F55" s="93" t="s">
        <v>39</v>
      </c>
      <c r="G55" s="94">
        <v>0.3</v>
      </c>
      <c r="H55" s="95">
        <v>0.55000000000000004</v>
      </c>
      <c r="I55" s="92">
        <v>114.5</v>
      </c>
      <c r="J55" s="92">
        <v>76.400000000000006</v>
      </c>
      <c r="K55" s="96">
        <v>58</v>
      </c>
      <c r="L55" s="97">
        <f>AVERAGE(345,339,347)</f>
        <v>343.66666666666669</v>
      </c>
      <c r="M55" s="96" t="s">
        <v>881</v>
      </c>
      <c r="N55" s="92">
        <f>AVERAGE(415,440)</f>
        <v>427.5</v>
      </c>
      <c r="O55" s="92" t="s">
        <v>881</v>
      </c>
      <c r="P55" s="97">
        <v>525</v>
      </c>
      <c r="Q55" s="92" t="s">
        <v>862</v>
      </c>
      <c r="R55" s="96" t="s">
        <v>33</v>
      </c>
      <c r="S55" s="25">
        <v>750</v>
      </c>
      <c r="T55" s="16" t="s">
        <v>862</v>
      </c>
      <c r="U55" s="31" t="s">
        <v>32</v>
      </c>
      <c r="V55" s="16"/>
      <c r="W55" s="16"/>
    </row>
    <row r="56" spans="1:23" ht="12.6" customHeight="1">
      <c r="A56" s="101" t="s">
        <v>108</v>
      </c>
      <c r="B56" s="144" t="s">
        <v>976</v>
      </c>
      <c r="C56" s="102">
        <v>90</v>
      </c>
      <c r="D56" s="103">
        <v>2.8</v>
      </c>
      <c r="E56" s="102">
        <f t="shared" si="1"/>
        <v>144</v>
      </c>
      <c r="F56" s="104" t="s">
        <v>39</v>
      </c>
      <c r="G56" s="105">
        <v>0.3</v>
      </c>
      <c r="H56" s="106">
        <v>0.6</v>
      </c>
      <c r="I56" s="102">
        <v>117</v>
      </c>
      <c r="J56" s="102">
        <v>79</v>
      </c>
      <c r="K56" s="107">
        <v>62</v>
      </c>
      <c r="L56" s="110">
        <f>AVERAGE(345,339,347)</f>
        <v>343.66666666666669</v>
      </c>
      <c r="M56" s="107" t="s">
        <v>881</v>
      </c>
      <c r="N56" s="102">
        <f>AVERAGE(415,440)</f>
        <v>427.5</v>
      </c>
      <c r="O56" s="102" t="s">
        <v>881</v>
      </c>
      <c r="P56" s="110">
        <v>525</v>
      </c>
      <c r="Q56" s="102" t="s">
        <v>862</v>
      </c>
      <c r="R56" s="107" t="s">
        <v>33</v>
      </c>
      <c r="S56" s="110">
        <v>750</v>
      </c>
      <c r="T56" s="102" t="s">
        <v>862</v>
      </c>
      <c r="U56" s="107" t="s">
        <v>32</v>
      </c>
      <c r="V56" s="16"/>
      <c r="W56" s="16"/>
    </row>
    <row r="57" spans="1:23" ht="12.6" customHeight="1">
      <c r="A57" s="91" t="s">
        <v>108</v>
      </c>
      <c r="B57" s="57" t="s">
        <v>179</v>
      </c>
      <c r="C57" s="92">
        <v>180</v>
      </c>
      <c r="D57" s="98">
        <v>2.5</v>
      </c>
      <c r="E57" s="92">
        <f t="shared" si="1"/>
        <v>288</v>
      </c>
      <c r="F57" s="93" t="s">
        <v>109</v>
      </c>
      <c r="G57" s="94">
        <v>1.2</v>
      </c>
      <c r="H57" s="95">
        <v>0.87</v>
      </c>
      <c r="I57" s="92">
        <v>120</v>
      </c>
      <c r="J57" s="92">
        <v>82</v>
      </c>
      <c r="K57" s="96">
        <v>77</v>
      </c>
      <c r="L57" s="92">
        <f>AVERAGE(268,333,433)</f>
        <v>344.66666666666669</v>
      </c>
      <c r="M57" s="96" t="s">
        <v>881</v>
      </c>
      <c r="N57" s="92">
        <f>AVERAGE(500,377,450,405,419,391,500,582,575)</f>
        <v>466.55555555555554</v>
      </c>
      <c r="O57" s="92" t="s">
        <v>810</v>
      </c>
      <c r="P57" s="97" t="s">
        <v>16</v>
      </c>
      <c r="Q57" s="92" t="s">
        <v>16</v>
      </c>
      <c r="R57" s="96" t="s">
        <v>16</v>
      </c>
      <c r="S57" s="97" t="s">
        <v>16</v>
      </c>
      <c r="T57" s="92" t="s">
        <v>16</v>
      </c>
      <c r="U57" s="96" t="s">
        <v>16</v>
      </c>
      <c r="V57" s="16"/>
      <c r="W57" s="16"/>
    </row>
    <row r="58" spans="1:23" ht="12.6" customHeight="1">
      <c r="A58" s="91" t="s">
        <v>108</v>
      </c>
      <c r="B58" s="57" t="s">
        <v>586</v>
      </c>
      <c r="C58" s="92">
        <v>180</v>
      </c>
      <c r="D58" s="98">
        <v>3.5</v>
      </c>
      <c r="E58" s="92">
        <f t="shared" si="1"/>
        <v>288</v>
      </c>
      <c r="F58" s="93" t="s">
        <v>39</v>
      </c>
      <c r="G58" s="94">
        <v>0.47</v>
      </c>
      <c r="H58" s="95">
        <v>0.92</v>
      </c>
      <c r="I58" s="92">
        <v>165.7</v>
      </c>
      <c r="J58" s="92">
        <v>84.8</v>
      </c>
      <c r="K58" s="96">
        <v>72</v>
      </c>
      <c r="L58" s="97">
        <f>AVERAGE(378,450,400,360,418,478,379,440,455)</f>
        <v>417.55555555555554</v>
      </c>
      <c r="M58" s="96" t="s">
        <v>881</v>
      </c>
      <c r="N58" s="92">
        <f>AVERAGE(550,540,487,499,558,548,594,500,513)</f>
        <v>532.11111111111109</v>
      </c>
      <c r="O58" s="92" t="s">
        <v>765</v>
      </c>
      <c r="P58" s="97">
        <f>600*CA.US</f>
        <v>456</v>
      </c>
      <c r="Q58" s="92" t="s">
        <v>862</v>
      </c>
      <c r="R58" s="96" t="s">
        <v>856</v>
      </c>
      <c r="S58" s="97">
        <v>650</v>
      </c>
      <c r="T58" s="92" t="s">
        <v>734</v>
      </c>
      <c r="U58" s="96" t="s">
        <v>33</v>
      </c>
      <c r="V58" s="16"/>
      <c r="W58" s="16"/>
    </row>
    <row r="59" spans="1:23" ht="12.6" customHeight="1">
      <c r="A59" s="91" t="s">
        <v>108</v>
      </c>
      <c r="B59" s="57" t="s">
        <v>659</v>
      </c>
      <c r="C59" s="92">
        <v>300</v>
      </c>
      <c r="D59" s="98">
        <v>2.8</v>
      </c>
      <c r="E59" s="92">
        <f t="shared" si="1"/>
        <v>480</v>
      </c>
      <c r="F59" s="93" t="s">
        <v>109</v>
      </c>
      <c r="G59" s="94">
        <v>2.5</v>
      </c>
      <c r="H59" s="95">
        <v>2.21</v>
      </c>
      <c r="I59" s="92">
        <v>212</v>
      </c>
      <c r="J59" s="92">
        <v>120</v>
      </c>
      <c r="K59" s="96" t="s">
        <v>220</v>
      </c>
      <c r="L59" s="97">
        <f>AVERAGE(654,720,670,650,710,505,710,668,502,675)</f>
        <v>646.4</v>
      </c>
      <c r="M59" s="96" t="s">
        <v>821</v>
      </c>
      <c r="N59" s="92">
        <f>AVERAGE(1200,994,906,775,713,950,720,760,895)</f>
        <v>879.22222222222217</v>
      </c>
      <c r="O59" s="92" t="s">
        <v>837</v>
      </c>
      <c r="P59" s="97">
        <v>1250</v>
      </c>
      <c r="Q59" s="92" t="s">
        <v>529</v>
      </c>
      <c r="R59" s="96" t="s">
        <v>33</v>
      </c>
      <c r="S59" s="97">
        <v>1550</v>
      </c>
      <c r="T59" s="92" t="s">
        <v>577</v>
      </c>
      <c r="U59" s="96" t="s">
        <v>35</v>
      </c>
      <c r="V59" s="16"/>
      <c r="W59" s="16"/>
    </row>
    <row r="60" spans="1:23" ht="12.6" customHeight="1">
      <c r="A60" s="91" t="s">
        <v>108</v>
      </c>
      <c r="B60" s="57" t="s">
        <v>660</v>
      </c>
      <c r="C60" s="92">
        <v>300</v>
      </c>
      <c r="D60" s="98">
        <v>2.8</v>
      </c>
      <c r="E60" s="92">
        <f t="shared" si="1"/>
        <v>480</v>
      </c>
      <c r="F60" s="93" t="s">
        <v>109</v>
      </c>
      <c r="G60" s="94">
        <v>2.5</v>
      </c>
      <c r="H60" s="95">
        <v>2.21</v>
      </c>
      <c r="I60" s="92">
        <v>212</v>
      </c>
      <c r="J60" s="92">
        <v>120</v>
      </c>
      <c r="K60" s="96" t="s">
        <v>220</v>
      </c>
      <c r="L60" s="97">
        <f>AVERAGE(510,499,505,495,561,550,465,526,487,505,473)</f>
        <v>506.90909090909093</v>
      </c>
      <c r="M60" s="96" t="s">
        <v>1092</v>
      </c>
      <c r="N60" s="92">
        <f>AVERAGE(635,700,678,670,550,700,500)</f>
        <v>633.28571428571433</v>
      </c>
      <c r="O60" s="92" t="s">
        <v>821</v>
      </c>
      <c r="P60" s="97">
        <v>650</v>
      </c>
      <c r="Q60" s="92" t="s">
        <v>765</v>
      </c>
      <c r="R60" s="96" t="s">
        <v>33</v>
      </c>
      <c r="S60" s="97" t="s">
        <v>16</v>
      </c>
      <c r="T60" s="92" t="s">
        <v>16</v>
      </c>
      <c r="U60" s="96" t="s">
        <v>16</v>
      </c>
      <c r="V60" s="16"/>
      <c r="W60" s="16"/>
    </row>
    <row r="61" spans="1:23" ht="12.6" customHeight="1">
      <c r="A61" s="91" t="s">
        <v>108</v>
      </c>
      <c r="B61" s="57" t="s">
        <v>661</v>
      </c>
      <c r="C61" s="92">
        <v>300</v>
      </c>
      <c r="D61" s="98">
        <v>2.8</v>
      </c>
      <c r="E61" s="92">
        <f t="shared" si="1"/>
        <v>480</v>
      </c>
      <c r="F61" s="93" t="s">
        <v>39</v>
      </c>
      <c r="G61" s="94">
        <v>2.5</v>
      </c>
      <c r="H61" s="95">
        <v>2.8</v>
      </c>
      <c r="I61" s="92">
        <v>216</v>
      </c>
      <c r="J61" s="92">
        <v>119</v>
      </c>
      <c r="K61" s="96" t="s">
        <v>220</v>
      </c>
      <c r="L61" s="92">
        <f>AVERAGE(679)</f>
        <v>679</v>
      </c>
      <c r="M61" s="96" t="s">
        <v>881</v>
      </c>
      <c r="N61" s="92">
        <f>AVERAGE(1450,1435)</f>
        <v>1442.5</v>
      </c>
      <c r="O61" s="92" t="s">
        <v>606</v>
      </c>
      <c r="P61" s="97">
        <v>995</v>
      </c>
      <c r="Q61" s="92" t="s">
        <v>765</v>
      </c>
      <c r="R61" s="96" t="s">
        <v>512</v>
      </c>
      <c r="S61" s="97">
        <v>1800</v>
      </c>
      <c r="T61" s="92" t="s">
        <v>821</v>
      </c>
      <c r="U61" s="96" t="s">
        <v>32</v>
      </c>
      <c r="V61" s="16"/>
      <c r="W61" s="16"/>
    </row>
    <row r="62" spans="1:23" s="149" customFormat="1" ht="12.6" customHeight="1">
      <c r="A62" s="221" t="s">
        <v>108</v>
      </c>
      <c r="B62" s="213" t="s">
        <v>408</v>
      </c>
      <c r="C62" s="222">
        <v>300</v>
      </c>
      <c r="D62" s="223">
        <v>5.6</v>
      </c>
      <c r="E62" s="222">
        <f t="shared" si="1"/>
        <v>480</v>
      </c>
      <c r="F62" s="224" t="s">
        <v>109</v>
      </c>
      <c r="G62" s="225">
        <v>1.4</v>
      </c>
      <c r="H62" s="226">
        <v>0.65</v>
      </c>
      <c r="I62" s="222">
        <v>170</v>
      </c>
      <c r="J62" s="222">
        <v>65</v>
      </c>
      <c r="K62" s="227">
        <v>58</v>
      </c>
      <c r="L62" s="228">
        <f>AVERAGE(148,128,103,100,110,100,125,128)</f>
        <v>117.75</v>
      </c>
      <c r="M62" s="227" t="s">
        <v>835</v>
      </c>
      <c r="N62" s="222">
        <f>AVERAGE(190,227,255,224)</f>
        <v>224</v>
      </c>
      <c r="O62" s="222" t="s">
        <v>606</v>
      </c>
      <c r="P62" s="228">
        <v>145</v>
      </c>
      <c r="Q62" s="222" t="s">
        <v>765</v>
      </c>
      <c r="R62" s="227" t="s">
        <v>35</v>
      </c>
      <c r="S62" s="228" t="s">
        <v>16</v>
      </c>
      <c r="T62" s="222" t="s">
        <v>16</v>
      </c>
      <c r="U62" s="227" t="s">
        <v>16</v>
      </c>
      <c r="V62" s="141"/>
      <c r="W62" s="141"/>
    </row>
    <row r="63" spans="1:23" s="149" customFormat="1" ht="12.6" customHeight="1">
      <c r="A63" s="221" t="s">
        <v>108</v>
      </c>
      <c r="B63" s="213" t="s">
        <v>504</v>
      </c>
      <c r="C63" s="222">
        <v>350</v>
      </c>
      <c r="D63" s="223">
        <v>5.6</v>
      </c>
      <c r="E63" s="222">
        <f t="shared" si="1"/>
        <v>560</v>
      </c>
      <c r="F63" s="224" t="s">
        <v>109</v>
      </c>
      <c r="G63" s="225">
        <v>1.1000000000000001</v>
      </c>
      <c r="H63" s="226">
        <v>0.62</v>
      </c>
      <c r="I63" s="222">
        <v>74.5</v>
      </c>
      <c r="J63" s="222">
        <v>86</v>
      </c>
      <c r="K63" s="227">
        <v>82</v>
      </c>
      <c r="L63" s="228">
        <f>AVERAGE(500,451,400,441,455,450,450,400,425,560,411,500)</f>
        <v>453.58333333333331</v>
      </c>
      <c r="M63" s="227" t="s">
        <v>835</v>
      </c>
      <c r="N63" s="222">
        <f>AVERAGE(650,598,600,620,680,611,618,530,660)</f>
        <v>618.55555555555554</v>
      </c>
      <c r="O63" s="222" t="s">
        <v>1001</v>
      </c>
      <c r="P63" s="228">
        <v>430</v>
      </c>
      <c r="Q63" s="222" t="s">
        <v>734</v>
      </c>
      <c r="R63" s="227" t="s">
        <v>30</v>
      </c>
      <c r="S63" s="228" t="s">
        <v>16</v>
      </c>
      <c r="T63" s="222" t="s">
        <v>16</v>
      </c>
      <c r="U63" s="227" t="s">
        <v>16</v>
      </c>
      <c r="V63" s="141"/>
      <c r="W63" s="141"/>
    </row>
    <row r="64" spans="1:23" s="149" customFormat="1" ht="12.6" customHeight="1">
      <c r="A64" s="229" t="s">
        <v>108</v>
      </c>
      <c r="B64" s="205" t="s">
        <v>441</v>
      </c>
      <c r="C64" s="230">
        <v>400</v>
      </c>
      <c r="D64" s="230">
        <v>4</v>
      </c>
      <c r="E64" s="230">
        <f t="shared" si="1"/>
        <v>640</v>
      </c>
      <c r="F64" s="231" t="s">
        <v>109</v>
      </c>
      <c r="G64" s="232">
        <v>3</v>
      </c>
      <c r="H64" s="233">
        <v>2.2999999999999998</v>
      </c>
      <c r="I64" s="230">
        <v>293</v>
      </c>
      <c r="J64" s="230">
        <v>118</v>
      </c>
      <c r="K64" s="234" t="s">
        <v>220</v>
      </c>
      <c r="L64" s="230">
        <f>AVERAGE(748,810,760,647,830,785,711,799,829)</f>
        <v>768.77777777777783</v>
      </c>
      <c r="M64" s="234" t="s">
        <v>1001</v>
      </c>
      <c r="N64" s="230">
        <f>AVERAGE(900,1012,900,1209,1032,899,1000,900,890,1050)</f>
        <v>979.2</v>
      </c>
      <c r="O64" s="230" t="s">
        <v>723</v>
      </c>
      <c r="P64" s="235" t="s">
        <v>16</v>
      </c>
      <c r="Q64" s="230" t="s">
        <v>16</v>
      </c>
      <c r="R64" s="234" t="s">
        <v>16</v>
      </c>
      <c r="S64" s="235" t="s">
        <v>16</v>
      </c>
      <c r="T64" s="230" t="s">
        <v>16</v>
      </c>
      <c r="U64" s="234" t="s">
        <v>16</v>
      </c>
      <c r="V64" s="141"/>
      <c r="W64" s="141"/>
    </row>
    <row r="65" spans="1:23" s="149" customFormat="1" ht="12.6" customHeight="1">
      <c r="A65" s="221" t="s">
        <v>108</v>
      </c>
      <c r="B65" s="213" t="s">
        <v>802</v>
      </c>
      <c r="C65" s="222" t="s">
        <v>801</v>
      </c>
      <c r="D65" s="223">
        <v>2.8</v>
      </c>
      <c r="E65" s="222" t="s">
        <v>463</v>
      </c>
      <c r="F65" s="224" t="s">
        <v>39</v>
      </c>
      <c r="G65" s="225">
        <v>0.28000000000000003</v>
      </c>
      <c r="H65" s="226">
        <v>1.1000000000000001</v>
      </c>
      <c r="I65" s="222">
        <v>145</v>
      </c>
      <c r="J65" s="222">
        <v>98.4</v>
      </c>
      <c r="K65" s="227" t="s">
        <v>31</v>
      </c>
      <c r="L65" s="222">
        <f>AVERAGE(791,788)</f>
        <v>789.5</v>
      </c>
      <c r="M65" s="227" t="s">
        <v>1092</v>
      </c>
      <c r="N65" s="257">
        <f>AVERAGE(760,879,838,829)</f>
        <v>826.5</v>
      </c>
      <c r="O65" s="222" t="s">
        <v>1001</v>
      </c>
      <c r="P65" s="228" t="s">
        <v>16</v>
      </c>
      <c r="Q65" s="222" t="s">
        <v>16</v>
      </c>
      <c r="R65" s="227" t="s">
        <v>16</v>
      </c>
      <c r="S65" s="236">
        <v>1200</v>
      </c>
      <c r="T65" s="222" t="s">
        <v>862</v>
      </c>
      <c r="U65" s="227" t="s">
        <v>32</v>
      </c>
      <c r="V65" s="141"/>
      <c r="W65" s="141"/>
    </row>
    <row r="66" spans="1:23" s="149" customFormat="1" ht="12.6" customHeight="1">
      <c r="A66" s="221" t="s">
        <v>108</v>
      </c>
      <c r="B66" s="213" t="s">
        <v>273</v>
      </c>
      <c r="C66" s="237" t="s">
        <v>93</v>
      </c>
      <c r="D66" s="223" t="s">
        <v>110</v>
      </c>
      <c r="E66" s="237" t="s">
        <v>94</v>
      </c>
      <c r="F66" s="224" t="s">
        <v>39</v>
      </c>
      <c r="G66" s="225">
        <v>0.5</v>
      </c>
      <c r="H66" s="226">
        <v>0.53</v>
      </c>
      <c r="I66" s="222">
        <v>81</v>
      </c>
      <c r="J66" s="222">
        <v>82</v>
      </c>
      <c r="K66" s="227">
        <v>77</v>
      </c>
      <c r="L66" s="228">
        <f>AVERAGE(120,120,113)</f>
        <v>117.66666666666667</v>
      </c>
      <c r="M66" s="227" t="s">
        <v>862</v>
      </c>
      <c r="N66" s="222">
        <f>AVERAGE(160)</f>
        <v>160</v>
      </c>
      <c r="O66" s="227" t="s">
        <v>739</v>
      </c>
      <c r="P66" s="238">
        <v>182</v>
      </c>
      <c r="Q66" s="222" t="s">
        <v>881</v>
      </c>
      <c r="R66" s="239" t="s">
        <v>30</v>
      </c>
      <c r="S66" s="238" t="s">
        <v>16</v>
      </c>
      <c r="T66" s="222" t="s">
        <v>16</v>
      </c>
      <c r="U66" s="239" t="s">
        <v>16</v>
      </c>
      <c r="V66" s="141"/>
      <c r="W66" s="141"/>
    </row>
    <row r="67" spans="1:23" s="149" customFormat="1" ht="12.6" customHeight="1">
      <c r="A67" s="221" t="s">
        <v>108</v>
      </c>
      <c r="B67" s="213" t="s">
        <v>466</v>
      </c>
      <c r="C67" s="237" t="s">
        <v>463</v>
      </c>
      <c r="D67" s="223" t="s">
        <v>465</v>
      </c>
      <c r="E67" s="237" t="s">
        <v>464</v>
      </c>
      <c r="F67" s="224" t="s">
        <v>109</v>
      </c>
      <c r="G67" s="225">
        <v>0.6</v>
      </c>
      <c r="H67" s="226">
        <v>0.34599999999999997</v>
      </c>
      <c r="I67" s="222">
        <v>61</v>
      </c>
      <c r="J67" s="222">
        <v>65.5</v>
      </c>
      <c r="K67" s="227" t="s">
        <v>467</v>
      </c>
      <c r="L67" s="228">
        <f>AVERAGE(110,133)</f>
        <v>121.5</v>
      </c>
      <c r="M67" s="227" t="s">
        <v>1092</v>
      </c>
      <c r="N67" s="222">
        <f>AVERAGE(438,430)</f>
        <v>434</v>
      </c>
      <c r="O67" s="227" t="s">
        <v>483</v>
      </c>
      <c r="P67" s="238" t="s">
        <v>16</v>
      </c>
      <c r="Q67" s="222" t="s">
        <v>16</v>
      </c>
      <c r="R67" s="239" t="s">
        <v>16</v>
      </c>
      <c r="S67" s="238" t="s">
        <v>16</v>
      </c>
      <c r="T67" s="222" t="s">
        <v>16</v>
      </c>
      <c r="U67" s="239" t="s">
        <v>16</v>
      </c>
      <c r="V67" s="141"/>
      <c r="W67" s="141"/>
    </row>
    <row r="68" spans="1:23" s="149" customFormat="1" ht="12.6" customHeight="1">
      <c r="A68" s="221" t="s">
        <v>108</v>
      </c>
      <c r="B68" s="213" t="s">
        <v>530</v>
      </c>
      <c r="C68" s="237" t="s">
        <v>55</v>
      </c>
      <c r="D68" s="223">
        <v>2.8</v>
      </c>
      <c r="E68" s="226" t="s">
        <v>95</v>
      </c>
      <c r="F68" s="224" t="s">
        <v>39</v>
      </c>
      <c r="G68" s="225">
        <v>0.38</v>
      </c>
      <c r="H68" s="226">
        <v>0.82499999999999996</v>
      </c>
      <c r="I68" s="222">
        <v>108.5</v>
      </c>
      <c r="J68" s="222">
        <v>88.2</v>
      </c>
      <c r="K68" s="227">
        <v>82</v>
      </c>
      <c r="L68" s="222">
        <f>AVERAGE(545,635,697,785,705,650)</f>
        <v>669.5</v>
      </c>
      <c r="M68" s="227" t="s">
        <v>881</v>
      </c>
      <c r="N68" s="222">
        <f>AVERAGE(685,789,900,950,917,925,895,871,885,903)</f>
        <v>872</v>
      </c>
      <c r="O68" s="227" t="s">
        <v>1001</v>
      </c>
      <c r="P68" s="228">
        <f>970*CA.US</f>
        <v>737.2</v>
      </c>
      <c r="Q68" s="222" t="s">
        <v>881</v>
      </c>
      <c r="R68" s="239" t="s">
        <v>361</v>
      </c>
      <c r="S68" s="238">
        <v>880</v>
      </c>
      <c r="T68" s="222" t="s">
        <v>881</v>
      </c>
      <c r="U68" s="239" t="s">
        <v>30</v>
      </c>
      <c r="V68" s="141"/>
      <c r="W68" s="141"/>
    </row>
    <row r="69" spans="1:23" s="149" customFormat="1" ht="12.6" customHeight="1">
      <c r="A69" s="221" t="s">
        <v>108</v>
      </c>
      <c r="B69" s="213" t="s">
        <v>449</v>
      </c>
      <c r="C69" s="237" t="s">
        <v>331</v>
      </c>
      <c r="D69" s="223" t="s">
        <v>70</v>
      </c>
      <c r="E69" s="237" t="s">
        <v>461</v>
      </c>
      <c r="F69" s="224" t="s">
        <v>39</v>
      </c>
      <c r="G69" s="225">
        <v>0.4</v>
      </c>
      <c r="H69" s="226">
        <v>0.53</v>
      </c>
      <c r="I69" s="222">
        <v>79</v>
      </c>
      <c r="J69" s="222">
        <v>81</v>
      </c>
      <c r="K69" s="227">
        <v>72</v>
      </c>
      <c r="L69" s="222">
        <f>AVERAGE(142,130,121,149,135,178,129)</f>
        <v>140.57142857142858</v>
      </c>
      <c r="M69" s="227" t="s">
        <v>728</v>
      </c>
      <c r="N69" s="222">
        <f>AVERAGE(175,205,202,250,189,223,250,202)</f>
        <v>212</v>
      </c>
      <c r="O69" s="227" t="s">
        <v>813</v>
      </c>
      <c r="P69" s="238">
        <v>175</v>
      </c>
      <c r="Q69" s="222" t="s">
        <v>821</v>
      </c>
      <c r="R69" s="239" t="s">
        <v>30</v>
      </c>
      <c r="S69" s="238" t="s">
        <v>16</v>
      </c>
      <c r="T69" s="222" t="s">
        <v>16</v>
      </c>
      <c r="U69" s="239" t="s">
        <v>16</v>
      </c>
      <c r="V69" s="141"/>
      <c r="W69" s="141"/>
    </row>
    <row r="70" spans="1:23" s="149" customFormat="1" ht="12.6" customHeight="1">
      <c r="A70" s="221" t="s">
        <v>108</v>
      </c>
      <c r="B70" s="213" t="s">
        <v>274</v>
      </c>
      <c r="C70" s="237" t="s">
        <v>111</v>
      </c>
      <c r="D70" s="223">
        <v>2.8</v>
      </c>
      <c r="E70" s="237" t="s">
        <v>481</v>
      </c>
      <c r="F70" s="224" t="s">
        <v>39</v>
      </c>
      <c r="G70" s="225">
        <v>0.33</v>
      </c>
      <c r="H70" s="226">
        <v>0.51</v>
      </c>
      <c r="I70" s="222">
        <v>92</v>
      </c>
      <c r="J70" s="222">
        <v>73</v>
      </c>
      <c r="K70" s="227">
        <v>67</v>
      </c>
      <c r="L70" s="228">
        <f>AVERAGE(208,212,239,230,220,186,210,154,193,200)</f>
        <v>205.2</v>
      </c>
      <c r="M70" s="227" t="s">
        <v>1092</v>
      </c>
      <c r="N70" s="222">
        <f>AVERAGE(285,313,325,310,345,333,346,331)</f>
        <v>323.5</v>
      </c>
      <c r="O70" s="222" t="s">
        <v>862</v>
      </c>
      <c r="P70" s="228">
        <v>330</v>
      </c>
      <c r="Q70" s="222" t="s">
        <v>881</v>
      </c>
      <c r="R70" s="227" t="s">
        <v>33</v>
      </c>
      <c r="S70" s="228" t="s">
        <v>16</v>
      </c>
      <c r="T70" s="222" t="s">
        <v>16</v>
      </c>
      <c r="U70" s="227" t="s">
        <v>16</v>
      </c>
      <c r="V70" s="141"/>
      <c r="W70" s="141"/>
    </row>
    <row r="71" spans="1:23" s="149" customFormat="1" ht="12.6" customHeight="1">
      <c r="A71" s="221" t="s">
        <v>108</v>
      </c>
      <c r="B71" s="213" t="s">
        <v>459</v>
      </c>
      <c r="C71" s="237" t="s">
        <v>112</v>
      </c>
      <c r="D71" s="223">
        <v>2.8</v>
      </c>
      <c r="E71" s="237" t="s">
        <v>482</v>
      </c>
      <c r="F71" s="240" t="s">
        <v>39</v>
      </c>
      <c r="G71" s="170">
        <v>0.44</v>
      </c>
      <c r="H71" s="171">
        <v>0.84499999999999997</v>
      </c>
      <c r="I71" s="155">
        <v>104.5</v>
      </c>
      <c r="J71" s="155">
        <v>87</v>
      </c>
      <c r="K71" s="227">
        <v>82</v>
      </c>
      <c r="L71" s="228">
        <f>AVERAGE(195,170,150,183,170,205,259,206)</f>
        <v>192.25</v>
      </c>
      <c r="M71" s="227" t="s">
        <v>852</v>
      </c>
      <c r="N71" s="241">
        <f>AVERAGE(255,365,329,333)</f>
        <v>320.5</v>
      </c>
      <c r="O71" s="222" t="s">
        <v>847</v>
      </c>
      <c r="P71" s="228">
        <v>390</v>
      </c>
      <c r="Q71" s="222" t="s">
        <v>821</v>
      </c>
      <c r="R71" s="227" t="s">
        <v>32</v>
      </c>
      <c r="S71" s="228">
        <v>425</v>
      </c>
      <c r="T71" s="222" t="s">
        <v>821</v>
      </c>
      <c r="U71" s="227" t="s">
        <v>32</v>
      </c>
      <c r="V71" s="141"/>
      <c r="W71" s="141"/>
    </row>
    <row r="72" spans="1:23" s="149" customFormat="1" ht="12.6" customHeight="1">
      <c r="A72" s="221" t="s">
        <v>108</v>
      </c>
      <c r="B72" s="213" t="s">
        <v>738</v>
      </c>
      <c r="C72" s="237" t="s">
        <v>736</v>
      </c>
      <c r="D72" s="223">
        <v>2.8</v>
      </c>
      <c r="E72" s="237" t="s">
        <v>737</v>
      </c>
      <c r="F72" s="240" t="s">
        <v>39</v>
      </c>
      <c r="G72" s="170">
        <v>0.49</v>
      </c>
      <c r="H72" s="171">
        <v>0.35399999999999998</v>
      </c>
      <c r="I72" s="155">
        <v>75.2</v>
      </c>
      <c r="J72" s="155">
        <v>71</v>
      </c>
      <c r="K72" s="155">
        <v>62</v>
      </c>
      <c r="L72" s="228">
        <f>AVERAGE(120,125)</f>
        <v>122.5</v>
      </c>
      <c r="M72" s="227" t="s">
        <v>765</v>
      </c>
      <c r="N72" s="222">
        <f>AVERAGE(140,140)</f>
        <v>140</v>
      </c>
      <c r="O72" s="222" t="s">
        <v>765</v>
      </c>
      <c r="P72" s="228">
        <v>80</v>
      </c>
      <c r="Q72" s="222" t="s">
        <v>745</v>
      </c>
      <c r="R72" s="227" t="s">
        <v>30</v>
      </c>
      <c r="S72" s="228" t="s">
        <v>16</v>
      </c>
      <c r="T72" s="222" t="s">
        <v>16</v>
      </c>
      <c r="U72" s="227" t="s">
        <v>16</v>
      </c>
      <c r="V72" s="141"/>
      <c r="W72" s="141"/>
    </row>
    <row r="73" spans="1:23" s="149" customFormat="1" ht="12.6" customHeight="1">
      <c r="A73" s="221" t="s">
        <v>108</v>
      </c>
      <c r="B73" s="213" t="s">
        <v>455</v>
      </c>
      <c r="C73" s="237" t="s">
        <v>453</v>
      </c>
      <c r="D73" s="223" t="s">
        <v>454</v>
      </c>
      <c r="E73" s="237" t="s">
        <v>462</v>
      </c>
      <c r="F73" s="240" t="s">
        <v>109</v>
      </c>
      <c r="G73" s="170">
        <v>0.27</v>
      </c>
      <c r="H73" s="171">
        <v>0.46</v>
      </c>
      <c r="I73" s="155">
        <v>78.5</v>
      </c>
      <c r="J73" s="156">
        <v>65</v>
      </c>
      <c r="K73" s="155">
        <v>62</v>
      </c>
      <c r="L73" s="228">
        <f>AVERAGE(29,27,30,37,43,70,65,50,47)</f>
        <v>44.222222222222221</v>
      </c>
      <c r="M73" s="227" t="s">
        <v>1092</v>
      </c>
      <c r="N73" s="222">
        <f>AVERAGE(90,125,128,130,115,150,105,109,164,109)</f>
        <v>122.5</v>
      </c>
      <c r="O73" s="222" t="s">
        <v>1092</v>
      </c>
      <c r="P73" s="228">
        <v>70</v>
      </c>
      <c r="Q73" s="222" t="s">
        <v>881</v>
      </c>
      <c r="R73" s="227" t="s">
        <v>32</v>
      </c>
      <c r="S73" s="228" t="s">
        <v>16</v>
      </c>
      <c r="T73" s="222" t="s">
        <v>16</v>
      </c>
      <c r="U73" s="227" t="s">
        <v>16</v>
      </c>
      <c r="V73" s="141"/>
      <c r="W73" s="141"/>
    </row>
    <row r="74" spans="1:23" s="149" customFormat="1" ht="12.6" customHeight="1">
      <c r="A74" s="221" t="s">
        <v>108</v>
      </c>
      <c r="B74" s="213" t="s">
        <v>486</v>
      </c>
      <c r="C74" s="237" t="s">
        <v>485</v>
      </c>
      <c r="D74" s="223">
        <v>2.8</v>
      </c>
      <c r="E74" s="237" t="s">
        <v>532</v>
      </c>
      <c r="F74" s="240" t="s">
        <v>109</v>
      </c>
      <c r="G74" s="170">
        <v>0.98</v>
      </c>
      <c r="H74" s="171">
        <v>0.76</v>
      </c>
      <c r="I74" s="155">
        <v>147</v>
      </c>
      <c r="J74" s="156">
        <v>67.5</v>
      </c>
      <c r="K74" s="155">
        <v>62</v>
      </c>
      <c r="L74" s="228">
        <f>AVERAGE(550,451,478)</f>
        <v>493</v>
      </c>
      <c r="M74" s="227" t="s">
        <v>1092</v>
      </c>
      <c r="N74" s="222">
        <f>AVERAGE(710,634,635)</f>
        <v>659.66666666666663</v>
      </c>
      <c r="O74" s="222" t="s">
        <v>1092</v>
      </c>
      <c r="P74" s="228" t="s">
        <v>16</v>
      </c>
      <c r="Q74" s="222" t="s">
        <v>16</v>
      </c>
      <c r="R74" s="227" t="s">
        <v>16</v>
      </c>
      <c r="S74" s="228" t="s">
        <v>16</v>
      </c>
      <c r="T74" s="222" t="s">
        <v>16</v>
      </c>
      <c r="U74" s="227" t="s">
        <v>16</v>
      </c>
      <c r="V74" s="141"/>
      <c r="W74" s="141"/>
    </row>
    <row r="75" spans="1:23" s="149" customFormat="1" ht="12.6" customHeight="1">
      <c r="A75" s="221" t="s">
        <v>108</v>
      </c>
      <c r="B75" s="213" t="s">
        <v>635</v>
      </c>
      <c r="C75" s="237" t="s">
        <v>64</v>
      </c>
      <c r="D75" s="223">
        <v>2.8</v>
      </c>
      <c r="E75" s="237" t="s">
        <v>102</v>
      </c>
      <c r="F75" s="224" t="s">
        <v>39</v>
      </c>
      <c r="G75" s="225">
        <v>0.95</v>
      </c>
      <c r="H75" s="226">
        <v>1.1499999999999999</v>
      </c>
      <c r="I75" s="222">
        <v>194</v>
      </c>
      <c r="J75" s="222">
        <v>90</v>
      </c>
      <c r="K75" s="227">
        <v>77</v>
      </c>
      <c r="L75" s="222">
        <f>AVERAGE(450,400,465,481,450,499,415,411,474,493)</f>
        <v>453.8</v>
      </c>
      <c r="M75" s="227" t="s">
        <v>1092</v>
      </c>
      <c r="N75" s="222">
        <f>AVERAGE(580,519,550,473,550,555,580,540,520,570,625)</f>
        <v>551.09090909090912</v>
      </c>
      <c r="O75" s="227" t="s">
        <v>1092</v>
      </c>
      <c r="P75" s="228">
        <v>540</v>
      </c>
      <c r="Q75" s="222" t="s">
        <v>881</v>
      </c>
      <c r="R75" s="227" t="s">
        <v>33</v>
      </c>
      <c r="S75" s="228">
        <v>710</v>
      </c>
      <c r="T75" s="222" t="s">
        <v>606</v>
      </c>
      <c r="U75" s="227" t="s">
        <v>33</v>
      </c>
      <c r="V75" s="141"/>
      <c r="W75" s="141"/>
    </row>
    <row r="76" spans="1:23" s="149" customFormat="1" ht="12.6" customHeight="1">
      <c r="A76" s="221" t="s">
        <v>108</v>
      </c>
      <c r="B76" s="213" t="s">
        <v>636</v>
      </c>
      <c r="C76" s="237" t="s">
        <v>64</v>
      </c>
      <c r="D76" s="223">
        <v>2.8</v>
      </c>
      <c r="E76" s="237" t="s">
        <v>102</v>
      </c>
      <c r="F76" s="224" t="s">
        <v>39</v>
      </c>
      <c r="G76" s="225">
        <v>1.3</v>
      </c>
      <c r="H76" s="226">
        <v>1.47</v>
      </c>
      <c r="I76" s="222">
        <v>196.7</v>
      </c>
      <c r="J76" s="222">
        <v>85.8</v>
      </c>
      <c r="K76" s="227">
        <v>77</v>
      </c>
      <c r="L76" s="222">
        <f>AVERAGE(787,930,870,830,825,900,900,855)</f>
        <v>862.125</v>
      </c>
      <c r="M76" s="227" t="s">
        <v>1001</v>
      </c>
      <c r="N76" s="222">
        <f>AVERAGE(950,1100,1022,980,993,1119,1119,1119)</f>
        <v>1050.25</v>
      </c>
      <c r="O76" s="227" t="s">
        <v>1092</v>
      </c>
      <c r="P76" s="228">
        <v>960</v>
      </c>
      <c r="Q76" s="222" t="s">
        <v>881</v>
      </c>
      <c r="R76" s="227" t="s">
        <v>30</v>
      </c>
      <c r="S76" s="228">
        <v>1220</v>
      </c>
      <c r="T76" s="222" t="s">
        <v>881</v>
      </c>
      <c r="U76" s="227" t="s">
        <v>30</v>
      </c>
      <c r="V76" s="141"/>
      <c r="W76" s="141"/>
    </row>
    <row r="77" spans="1:23" s="149" customFormat="1" ht="12.6" customHeight="1">
      <c r="A77" s="221" t="s">
        <v>108</v>
      </c>
      <c r="B77" s="213" t="s">
        <v>460</v>
      </c>
      <c r="C77" s="237" t="s">
        <v>85</v>
      </c>
      <c r="D77" s="223" t="s">
        <v>86</v>
      </c>
      <c r="E77" s="237" t="s">
        <v>531</v>
      </c>
      <c r="F77" s="224" t="s">
        <v>39</v>
      </c>
      <c r="G77" s="225">
        <v>1.4</v>
      </c>
      <c r="H77" s="226">
        <v>0.76500000000000001</v>
      </c>
      <c r="I77" s="222">
        <v>142.69999999999999</v>
      </c>
      <c r="J77" s="222">
        <v>81.5</v>
      </c>
      <c r="K77" s="227">
        <v>62</v>
      </c>
      <c r="L77" s="222">
        <f>AVERAGE(178,196,193,244,255,260,207,245,243)</f>
        <v>224.55555555555554</v>
      </c>
      <c r="M77" s="227" t="s">
        <v>1008</v>
      </c>
      <c r="N77" s="222">
        <f>AVERAGE(279,300,240,305,285,294,269,300)</f>
        <v>284</v>
      </c>
      <c r="O77" s="222" t="s">
        <v>1092</v>
      </c>
      <c r="P77" s="228">
        <v>270</v>
      </c>
      <c r="Q77" s="222" t="s">
        <v>881</v>
      </c>
      <c r="R77" s="227" t="s">
        <v>30</v>
      </c>
      <c r="S77" s="228">
        <f>300*CA.US</f>
        <v>228</v>
      </c>
      <c r="T77" s="222" t="s">
        <v>862</v>
      </c>
      <c r="U77" s="227" t="s">
        <v>361</v>
      </c>
      <c r="V77" s="141"/>
      <c r="W77" s="141"/>
    </row>
    <row r="78" spans="1:23" s="149" customFormat="1" ht="12.6" customHeight="1">
      <c r="A78" s="221" t="s">
        <v>108</v>
      </c>
      <c r="B78" s="213" t="s">
        <v>456</v>
      </c>
      <c r="C78" s="237" t="s">
        <v>66</v>
      </c>
      <c r="D78" s="223">
        <v>2.8</v>
      </c>
      <c r="E78" s="237" t="s">
        <v>67</v>
      </c>
      <c r="F78" s="224" t="s">
        <v>109</v>
      </c>
      <c r="G78" s="225">
        <v>1.5</v>
      </c>
      <c r="H78" s="226">
        <v>1.22</v>
      </c>
      <c r="I78" s="222">
        <v>178</v>
      </c>
      <c r="J78" s="222">
        <v>82</v>
      </c>
      <c r="K78" s="227">
        <v>77</v>
      </c>
      <c r="L78" s="228">
        <f>AVERAGE(199,199,174,243,170)</f>
        <v>197</v>
      </c>
      <c r="M78" s="227" t="s">
        <v>1092</v>
      </c>
      <c r="N78" s="222">
        <f>AVERAGE(292,292,338,385,413,385)</f>
        <v>350.83333333333331</v>
      </c>
      <c r="O78" s="227" t="s">
        <v>765</v>
      </c>
      <c r="P78" s="238">
        <v>395</v>
      </c>
      <c r="Q78" s="222" t="s">
        <v>529</v>
      </c>
      <c r="R78" s="239" t="s">
        <v>35</v>
      </c>
      <c r="S78" s="238">
        <v>430</v>
      </c>
      <c r="T78" s="222" t="s">
        <v>529</v>
      </c>
      <c r="U78" s="239" t="s">
        <v>30</v>
      </c>
      <c r="V78" s="141"/>
      <c r="W78" s="141"/>
    </row>
    <row r="79" spans="1:23" s="149" customFormat="1" ht="12.6" customHeight="1">
      <c r="A79" s="221" t="s">
        <v>108</v>
      </c>
      <c r="B79" s="213" t="s">
        <v>697</v>
      </c>
      <c r="C79" s="237" t="s">
        <v>698</v>
      </c>
      <c r="D79" s="223" t="s">
        <v>582</v>
      </c>
      <c r="E79" s="237" t="s">
        <v>699</v>
      </c>
      <c r="F79" s="224" t="s">
        <v>39</v>
      </c>
      <c r="G79" s="225">
        <v>2.7</v>
      </c>
      <c r="H79" s="226">
        <v>1.9510000000000001</v>
      </c>
      <c r="I79" s="222">
        <v>257.8</v>
      </c>
      <c r="J79" s="222">
        <v>105.6</v>
      </c>
      <c r="K79" s="227">
        <v>95</v>
      </c>
      <c r="L79" s="222">
        <f>AVERAGE(650,668,700,699,646,698,646)</f>
        <v>672.42857142857144</v>
      </c>
      <c r="M79" s="227" t="s">
        <v>1008</v>
      </c>
      <c r="N79" s="222">
        <f>AVERAGE(736,710,750,815,770,750,750,860,799)</f>
        <v>771.11111111111109</v>
      </c>
      <c r="O79" s="222" t="s">
        <v>1092</v>
      </c>
      <c r="P79" s="238">
        <v>750</v>
      </c>
      <c r="Q79" s="222" t="s">
        <v>881</v>
      </c>
      <c r="R79" s="239" t="s">
        <v>33</v>
      </c>
      <c r="S79" s="238">
        <v>850</v>
      </c>
      <c r="T79" s="222" t="s">
        <v>862</v>
      </c>
      <c r="U79" s="239" t="s">
        <v>33</v>
      </c>
      <c r="V79" s="141"/>
      <c r="W79" s="141"/>
    </row>
    <row r="80" spans="1:23" s="149" customFormat="1" ht="12.6" customHeight="1">
      <c r="A80" s="221" t="s">
        <v>108</v>
      </c>
      <c r="B80" s="213" t="s">
        <v>457</v>
      </c>
      <c r="C80" s="237" t="s">
        <v>114</v>
      </c>
      <c r="D80" s="223">
        <v>5.6</v>
      </c>
      <c r="E80" s="237" t="s">
        <v>533</v>
      </c>
      <c r="F80" s="224" t="s">
        <v>39</v>
      </c>
      <c r="G80" s="225">
        <v>2.5</v>
      </c>
      <c r="H80" s="226">
        <v>1.26</v>
      </c>
      <c r="I80" s="222">
        <v>178</v>
      </c>
      <c r="J80" s="222">
        <v>85.4</v>
      </c>
      <c r="K80" s="227">
        <v>77</v>
      </c>
      <c r="L80" s="228">
        <f>AVERAGE(229,205,230,215,220,203,223,257,231,198,213,199)</f>
        <v>218.58333333333334</v>
      </c>
      <c r="M80" s="239" t="s">
        <v>1001</v>
      </c>
      <c r="N80" s="222">
        <f>AVERAGE(265,299,300,325,281,243,249,265,330,287,278,306,300)</f>
        <v>286.76923076923077</v>
      </c>
      <c r="O80" s="237" t="s">
        <v>773</v>
      </c>
      <c r="P80" s="228">
        <v>220</v>
      </c>
      <c r="Q80" s="237" t="s">
        <v>821</v>
      </c>
      <c r="R80" s="227" t="s">
        <v>30</v>
      </c>
      <c r="S80" s="228">
        <v>350</v>
      </c>
      <c r="T80" s="237" t="s">
        <v>333</v>
      </c>
      <c r="U80" s="227" t="s">
        <v>35</v>
      </c>
      <c r="V80" s="141"/>
      <c r="W80" s="141"/>
    </row>
    <row r="81" spans="1:23" s="149" customFormat="1" ht="12.6" customHeight="1">
      <c r="A81" s="221" t="s">
        <v>108</v>
      </c>
      <c r="B81" s="213" t="s">
        <v>563</v>
      </c>
      <c r="C81" s="237" t="s">
        <v>115</v>
      </c>
      <c r="D81" s="223">
        <v>5.6</v>
      </c>
      <c r="E81" s="237" t="s">
        <v>285</v>
      </c>
      <c r="F81" s="224" t="s">
        <v>109</v>
      </c>
      <c r="G81" s="225">
        <v>2.5</v>
      </c>
      <c r="H81" s="226">
        <v>2.74</v>
      </c>
      <c r="I81" s="222">
        <v>360.5</v>
      </c>
      <c r="J81" s="222">
        <v>105</v>
      </c>
      <c r="K81" s="227">
        <v>95</v>
      </c>
      <c r="L81" s="222">
        <f>AVERAGE(400,389,442,390,355,433)</f>
        <v>401.5</v>
      </c>
      <c r="M81" s="239" t="s">
        <v>1092</v>
      </c>
      <c r="N81" s="222">
        <f>AVERAGE(450,503,436)</f>
        <v>463</v>
      </c>
      <c r="O81" s="237" t="s">
        <v>1001</v>
      </c>
      <c r="P81" s="228">
        <v>175</v>
      </c>
      <c r="Q81" s="237" t="s">
        <v>881</v>
      </c>
      <c r="R81" s="227" t="s">
        <v>30</v>
      </c>
      <c r="S81" s="228" t="s">
        <v>16</v>
      </c>
      <c r="T81" s="237" t="s">
        <v>16</v>
      </c>
      <c r="U81" s="227" t="s">
        <v>16</v>
      </c>
      <c r="V81" s="141"/>
      <c r="W81" s="141"/>
    </row>
    <row r="82" spans="1:23" s="149" customFormat="1" ht="12.6" customHeight="1">
      <c r="A82" s="229" t="s">
        <v>108</v>
      </c>
      <c r="B82" s="205" t="s">
        <v>458</v>
      </c>
      <c r="C82" s="230" t="s">
        <v>115</v>
      </c>
      <c r="D82" s="230" t="s">
        <v>431</v>
      </c>
      <c r="E82" s="230" t="s">
        <v>285</v>
      </c>
      <c r="F82" s="231" t="s">
        <v>39</v>
      </c>
      <c r="G82" s="232">
        <v>2.5</v>
      </c>
      <c r="H82" s="233">
        <v>1.2370000000000001</v>
      </c>
      <c r="I82" s="230">
        <v>227</v>
      </c>
      <c r="J82" s="230">
        <v>93.5</v>
      </c>
      <c r="K82" s="234">
        <v>86</v>
      </c>
      <c r="L82" s="230">
        <f>AVERAGE(295,350,287,350,339,480,385)</f>
        <v>355.14285714285717</v>
      </c>
      <c r="M82" s="234" t="s">
        <v>1092</v>
      </c>
      <c r="N82" s="230">
        <f>AVERAGE(710,850,570,550,725,650,610,700,699,680,699)</f>
        <v>676.63636363636363</v>
      </c>
      <c r="O82" s="230" t="s">
        <v>837</v>
      </c>
      <c r="P82" s="235">
        <v>400</v>
      </c>
      <c r="Q82" s="230" t="s">
        <v>881</v>
      </c>
      <c r="R82" s="234" t="s">
        <v>33</v>
      </c>
      <c r="S82" s="235">
        <v>730</v>
      </c>
      <c r="T82" s="230" t="s">
        <v>821</v>
      </c>
      <c r="U82" s="234" t="s">
        <v>757</v>
      </c>
      <c r="V82" s="141"/>
      <c r="W82" s="141"/>
    </row>
    <row r="83" spans="1:23" s="149" customFormat="1" ht="12.6" customHeight="1">
      <c r="A83" s="200"/>
      <c r="B83" s="200"/>
      <c r="C83" s="156" t="s">
        <v>16</v>
      </c>
      <c r="D83" s="170" t="s">
        <v>16</v>
      </c>
      <c r="E83" s="156" t="s">
        <v>16</v>
      </c>
      <c r="F83" s="156" t="s">
        <v>16</v>
      </c>
      <c r="G83" s="170" t="s">
        <v>16</v>
      </c>
      <c r="H83" s="171" t="s">
        <v>16</v>
      </c>
      <c r="I83" s="155" t="s">
        <v>16</v>
      </c>
      <c r="J83" s="155" t="s">
        <v>16</v>
      </c>
      <c r="K83" s="155" t="s">
        <v>16</v>
      </c>
      <c r="L83" s="155" t="s">
        <v>16</v>
      </c>
      <c r="M83" s="155" t="s">
        <v>16</v>
      </c>
      <c r="N83" s="155" t="s">
        <v>16</v>
      </c>
      <c r="O83" s="155" t="s">
        <v>16</v>
      </c>
      <c r="P83" s="155" t="s">
        <v>16</v>
      </c>
      <c r="Q83" s="155" t="s">
        <v>16</v>
      </c>
      <c r="R83" s="155" t="s">
        <v>16</v>
      </c>
      <c r="S83" s="155" t="s">
        <v>16</v>
      </c>
      <c r="T83" s="155" t="s">
        <v>16</v>
      </c>
      <c r="U83" s="155" t="s">
        <v>16</v>
      </c>
      <c r="V83" s="155"/>
      <c r="W83" s="155"/>
    </row>
    <row r="84" spans="1:23" s="149" customFormat="1" ht="12.6" customHeight="1">
      <c r="A84" s="200" t="s">
        <v>371</v>
      </c>
      <c r="B84" s="200"/>
      <c r="C84" s="156" t="s">
        <v>16</v>
      </c>
      <c r="D84" s="170" t="s">
        <v>16</v>
      </c>
      <c r="E84" s="156" t="s">
        <v>16</v>
      </c>
      <c r="F84" s="156" t="s">
        <v>16</v>
      </c>
      <c r="G84" s="170" t="s">
        <v>16</v>
      </c>
      <c r="H84" s="171" t="s">
        <v>16</v>
      </c>
      <c r="I84" s="155" t="s">
        <v>16</v>
      </c>
      <c r="J84" s="155" t="s">
        <v>16</v>
      </c>
      <c r="K84" s="155" t="s">
        <v>16</v>
      </c>
      <c r="L84" s="155" t="s">
        <v>16</v>
      </c>
      <c r="M84" s="155" t="s">
        <v>16</v>
      </c>
      <c r="N84" s="155" t="s">
        <v>16</v>
      </c>
      <c r="O84" s="155" t="s">
        <v>16</v>
      </c>
      <c r="P84" s="155" t="s">
        <v>16</v>
      </c>
      <c r="Q84" s="155" t="s">
        <v>16</v>
      </c>
      <c r="R84" s="155" t="s">
        <v>16</v>
      </c>
      <c r="S84" s="155" t="s">
        <v>16</v>
      </c>
      <c r="T84" s="155" t="s">
        <v>16</v>
      </c>
      <c r="U84" s="155" t="s">
        <v>16</v>
      </c>
      <c r="V84" s="155"/>
      <c r="W84" s="155"/>
    </row>
    <row r="85" spans="1:23" s="149" customFormat="1" ht="12.6" customHeight="1">
      <c r="A85" s="200"/>
      <c r="B85" s="200"/>
      <c r="C85" s="156" t="s">
        <v>16</v>
      </c>
      <c r="D85" s="170" t="s">
        <v>16</v>
      </c>
      <c r="E85" s="156" t="s">
        <v>16</v>
      </c>
      <c r="F85" s="156" t="s">
        <v>16</v>
      </c>
      <c r="G85" s="170" t="s">
        <v>16</v>
      </c>
      <c r="H85" s="171" t="s">
        <v>16</v>
      </c>
      <c r="I85" s="155" t="s">
        <v>16</v>
      </c>
      <c r="J85" s="155" t="s">
        <v>16</v>
      </c>
      <c r="K85" s="155" t="s">
        <v>16</v>
      </c>
      <c r="L85" s="155" t="s">
        <v>16</v>
      </c>
      <c r="M85" s="155" t="s">
        <v>16</v>
      </c>
      <c r="N85" s="155" t="s">
        <v>16</v>
      </c>
      <c r="O85" s="155" t="s">
        <v>16</v>
      </c>
      <c r="P85" s="155" t="s">
        <v>16</v>
      </c>
      <c r="Q85" s="155" t="s">
        <v>16</v>
      </c>
      <c r="R85" s="155" t="s">
        <v>16</v>
      </c>
      <c r="S85" s="155" t="s">
        <v>16</v>
      </c>
      <c r="T85" s="155" t="s">
        <v>16</v>
      </c>
      <c r="U85" s="155" t="s">
        <v>16</v>
      </c>
      <c r="V85" s="155"/>
      <c r="W85" s="155"/>
    </row>
    <row r="86" spans="1:23" s="161" customFormat="1" ht="12.6" customHeight="1">
      <c r="A86" s="243" t="s">
        <v>349</v>
      </c>
      <c r="B86" s="244"/>
      <c r="C86" s="179" t="s">
        <v>16</v>
      </c>
      <c r="D86" s="245" t="s">
        <v>16</v>
      </c>
      <c r="E86" s="179" t="s">
        <v>16</v>
      </c>
      <c r="F86" s="246" t="s">
        <v>16</v>
      </c>
      <c r="G86" s="247" t="s">
        <v>16</v>
      </c>
      <c r="H86" s="248" t="s">
        <v>16</v>
      </c>
      <c r="I86" s="179" t="s">
        <v>16</v>
      </c>
      <c r="J86" s="179" t="s">
        <v>16</v>
      </c>
      <c r="K86" s="179" t="s">
        <v>16</v>
      </c>
      <c r="L86" s="179" t="s">
        <v>16</v>
      </c>
      <c r="M86" s="179" t="s">
        <v>16</v>
      </c>
      <c r="N86" s="179" t="s">
        <v>16</v>
      </c>
      <c r="O86" s="179" t="s">
        <v>16</v>
      </c>
      <c r="P86" s="179" t="s">
        <v>16</v>
      </c>
      <c r="Q86" s="179" t="s">
        <v>16</v>
      </c>
      <c r="R86" s="179" t="s">
        <v>16</v>
      </c>
      <c r="S86" s="179" t="s">
        <v>16</v>
      </c>
      <c r="T86" s="179" t="s">
        <v>16</v>
      </c>
      <c r="U86" s="179" t="s">
        <v>16</v>
      </c>
    </row>
    <row r="87" spans="1:23" s="149" customFormat="1" ht="12.6" customHeight="1">
      <c r="A87" s="221" t="s">
        <v>116</v>
      </c>
      <c r="B87" s="213" t="s">
        <v>731</v>
      </c>
      <c r="C87" s="237">
        <v>17</v>
      </c>
      <c r="D87" s="223">
        <v>3.5</v>
      </c>
      <c r="E87" s="222">
        <f>1.6*C87</f>
        <v>27.200000000000003</v>
      </c>
      <c r="F87" s="224" t="s">
        <v>31</v>
      </c>
      <c r="G87" s="225">
        <v>0.25</v>
      </c>
      <c r="H87" s="226">
        <v>0.28999999999999998</v>
      </c>
      <c r="I87" s="222">
        <v>52</v>
      </c>
      <c r="J87" s="222">
        <v>70</v>
      </c>
      <c r="K87" s="227">
        <v>67</v>
      </c>
      <c r="L87" s="228">
        <f>AVERAGE(173,141,143,179,169,126,153,170)</f>
        <v>156.75</v>
      </c>
      <c r="M87" s="227" t="s">
        <v>1001</v>
      </c>
      <c r="N87" s="222">
        <f>AVERAGE(267,228,250,200,239,226,200,240,230)</f>
        <v>231.11111111111111</v>
      </c>
      <c r="O87" s="222" t="s">
        <v>1092</v>
      </c>
      <c r="P87" s="228">
        <f>289*CA.US</f>
        <v>219.64000000000001</v>
      </c>
      <c r="Q87" s="222" t="s">
        <v>862</v>
      </c>
      <c r="R87" s="227" t="s">
        <v>623</v>
      </c>
      <c r="S87" s="228" t="s">
        <v>16</v>
      </c>
      <c r="T87" s="222" t="s">
        <v>16</v>
      </c>
      <c r="U87" s="227" t="s">
        <v>16</v>
      </c>
      <c r="V87" s="141"/>
      <c r="W87" s="141"/>
    </row>
    <row r="88" spans="1:23" s="149" customFormat="1" ht="12.6" customHeight="1">
      <c r="A88" s="221" t="s">
        <v>116</v>
      </c>
      <c r="B88" s="213" t="s">
        <v>484</v>
      </c>
      <c r="C88" s="237">
        <v>17</v>
      </c>
      <c r="D88" s="223">
        <v>3.5</v>
      </c>
      <c r="E88" s="222">
        <f t="shared" ref="E88:E92" si="3">1.6*C88</f>
        <v>27.200000000000003</v>
      </c>
      <c r="F88" s="224" t="s">
        <v>39</v>
      </c>
      <c r="G88" s="225">
        <v>0.25</v>
      </c>
      <c r="H88" s="226">
        <v>0.44</v>
      </c>
      <c r="I88" s="222">
        <v>65</v>
      </c>
      <c r="J88" s="222">
        <v>88</v>
      </c>
      <c r="K88" s="227">
        <v>77</v>
      </c>
      <c r="L88" s="222">
        <f>AVERAGE(200,233,255,225,299,280,319,300)</f>
        <v>263.875</v>
      </c>
      <c r="M88" s="227" t="s">
        <v>862</v>
      </c>
      <c r="N88" s="222">
        <f>AVERAGE(350,320,340,358,400,371,375,350)</f>
        <v>358</v>
      </c>
      <c r="O88" s="222" t="s">
        <v>1092</v>
      </c>
      <c r="P88" s="228">
        <v>300</v>
      </c>
      <c r="Q88" s="222" t="s">
        <v>881</v>
      </c>
      <c r="R88" s="227" t="s">
        <v>30</v>
      </c>
      <c r="S88" s="228">
        <v>380</v>
      </c>
      <c r="T88" s="222" t="s">
        <v>241</v>
      </c>
      <c r="U88" s="227" t="s">
        <v>30</v>
      </c>
      <c r="V88" s="141"/>
      <c r="W88" s="141"/>
    </row>
    <row r="89" spans="1:23" s="149" customFormat="1" ht="12.6" customHeight="1">
      <c r="A89" s="221" t="s">
        <v>116</v>
      </c>
      <c r="B89" s="213" t="s">
        <v>662</v>
      </c>
      <c r="C89" s="237">
        <v>90</v>
      </c>
      <c r="D89" s="223">
        <v>2.5</v>
      </c>
      <c r="E89" s="237">
        <f t="shared" si="3"/>
        <v>144</v>
      </c>
      <c r="F89" s="224" t="s">
        <v>31</v>
      </c>
      <c r="G89" s="225">
        <v>0.4</v>
      </c>
      <c r="H89" s="226">
        <v>0.53</v>
      </c>
      <c r="I89" s="222">
        <v>64</v>
      </c>
      <c r="J89" s="222">
        <v>80</v>
      </c>
      <c r="K89" s="227">
        <v>55</v>
      </c>
      <c r="L89" s="222">
        <f>AVERAGE(297,349,289,349,299,280,419,349,288,270,325)</f>
        <v>319.45454545454544</v>
      </c>
      <c r="M89" s="227" t="s">
        <v>1092</v>
      </c>
      <c r="N89" s="222">
        <f>AVERAGE(379,499,489,460,415,399,550,450)</f>
        <v>455.125</v>
      </c>
      <c r="O89" s="227" t="s">
        <v>1001</v>
      </c>
      <c r="P89" s="228" t="s">
        <v>16</v>
      </c>
      <c r="Q89" s="222" t="s">
        <v>16</v>
      </c>
      <c r="R89" s="227" t="s">
        <v>16</v>
      </c>
      <c r="S89" s="228" t="s">
        <v>16</v>
      </c>
      <c r="T89" s="222" t="s">
        <v>16</v>
      </c>
      <c r="U89" s="227" t="s">
        <v>16</v>
      </c>
      <c r="V89" s="141"/>
      <c r="W89" s="141"/>
    </row>
    <row r="90" spans="1:23" s="161" customFormat="1" ht="12.6" customHeight="1">
      <c r="A90" s="221" t="s">
        <v>116</v>
      </c>
      <c r="B90" s="213" t="s">
        <v>663</v>
      </c>
      <c r="C90" s="222">
        <v>100</v>
      </c>
      <c r="D90" s="223">
        <v>2.8</v>
      </c>
      <c r="E90" s="222">
        <f t="shared" si="3"/>
        <v>160</v>
      </c>
      <c r="F90" s="224" t="s">
        <v>39</v>
      </c>
      <c r="G90" s="225">
        <v>0.3</v>
      </c>
      <c r="H90" s="226">
        <v>0.54</v>
      </c>
      <c r="I90" s="222">
        <v>95</v>
      </c>
      <c r="J90" s="222">
        <v>73</v>
      </c>
      <c r="K90" s="227">
        <v>55</v>
      </c>
      <c r="L90" s="222">
        <f>AVERAGE(255,252,234,208,218,257)</f>
        <v>237.33333333333334</v>
      </c>
      <c r="M90" s="227" t="s">
        <v>999</v>
      </c>
      <c r="N90" s="222">
        <f>AVERAGE(265,320,275,325,344,344,335,400,360)</f>
        <v>329.77777777777777</v>
      </c>
      <c r="O90" s="222" t="s">
        <v>1092</v>
      </c>
      <c r="P90" s="249" t="s">
        <v>730</v>
      </c>
      <c r="Q90" s="222" t="s">
        <v>734</v>
      </c>
      <c r="R90" s="250" t="s">
        <v>30</v>
      </c>
      <c r="S90" s="249" t="s">
        <v>729</v>
      </c>
      <c r="T90" s="222" t="s">
        <v>734</v>
      </c>
      <c r="U90" s="250" t="s">
        <v>30</v>
      </c>
      <c r="V90" s="141"/>
      <c r="W90" s="141"/>
    </row>
    <row r="91" spans="1:23" s="161" customFormat="1" ht="12.6" customHeight="1">
      <c r="A91" s="221" t="s">
        <v>116</v>
      </c>
      <c r="B91" s="213" t="s">
        <v>664</v>
      </c>
      <c r="C91" s="222">
        <v>300</v>
      </c>
      <c r="D91" s="223">
        <v>2.8</v>
      </c>
      <c r="E91" s="222">
        <f t="shared" si="3"/>
        <v>480</v>
      </c>
      <c r="F91" s="224" t="s">
        <v>39</v>
      </c>
      <c r="G91" s="225">
        <v>2.4</v>
      </c>
      <c r="H91" s="226">
        <v>2.2999999999999998</v>
      </c>
      <c r="I91" s="222">
        <v>187</v>
      </c>
      <c r="J91" s="222">
        <v>117</v>
      </c>
      <c r="K91" s="227">
        <v>112</v>
      </c>
      <c r="L91" s="222">
        <f>AVERAGE(785,799,925)</f>
        <v>836.33333333333337</v>
      </c>
      <c r="M91" s="227" t="s">
        <v>1092</v>
      </c>
      <c r="N91" s="222">
        <f>AVERAGE(1233,1580,1535)</f>
        <v>1449.3333333333333</v>
      </c>
      <c r="O91" s="227" t="s">
        <v>793</v>
      </c>
      <c r="P91" s="249" t="s">
        <v>763</v>
      </c>
      <c r="Q91" s="222" t="s">
        <v>765</v>
      </c>
      <c r="R91" s="250" t="s">
        <v>30</v>
      </c>
      <c r="S91" s="251" t="s">
        <v>16</v>
      </c>
      <c r="T91" s="222" t="s">
        <v>16</v>
      </c>
      <c r="U91" s="250" t="s">
        <v>16</v>
      </c>
      <c r="V91" s="141"/>
      <c r="W91" s="141"/>
    </row>
    <row r="92" spans="1:23" s="161" customFormat="1" ht="12.6" customHeight="1">
      <c r="A92" s="221" t="s">
        <v>116</v>
      </c>
      <c r="B92" s="213" t="s">
        <v>665</v>
      </c>
      <c r="C92" s="222">
        <v>300</v>
      </c>
      <c r="D92" s="223">
        <v>2.8</v>
      </c>
      <c r="E92" s="222">
        <f t="shared" si="3"/>
        <v>480</v>
      </c>
      <c r="F92" s="224" t="s">
        <v>31</v>
      </c>
      <c r="G92" s="225" t="s">
        <v>16</v>
      </c>
      <c r="H92" s="226" t="s">
        <v>16</v>
      </c>
      <c r="I92" s="222" t="s">
        <v>16</v>
      </c>
      <c r="J92" s="222" t="s">
        <v>16</v>
      </c>
      <c r="K92" s="227" t="s">
        <v>16</v>
      </c>
      <c r="L92" s="222">
        <f>AVERAGE(385,233)</f>
        <v>309</v>
      </c>
      <c r="M92" s="227" t="s">
        <v>862</v>
      </c>
      <c r="N92" s="222">
        <f>AVERAGE(355,598,598,600)</f>
        <v>537.75</v>
      </c>
      <c r="O92" s="227" t="s">
        <v>881</v>
      </c>
      <c r="P92" s="249" t="s">
        <v>16</v>
      </c>
      <c r="Q92" s="222" t="s">
        <v>16</v>
      </c>
      <c r="R92" s="250" t="s">
        <v>16</v>
      </c>
      <c r="S92" s="251" t="s">
        <v>16</v>
      </c>
      <c r="T92" s="222" t="s">
        <v>16</v>
      </c>
      <c r="U92" s="250" t="s">
        <v>16</v>
      </c>
      <c r="V92" s="141"/>
      <c r="W92" s="141"/>
    </row>
    <row r="93" spans="1:23" s="149" customFormat="1" ht="12.6" customHeight="1">
      <c r="A93" s="229" t="s">
        <v>116</v>
      </c>
      <c r="B93" s="205" t="s">
        <v>954</v>
      </c>
      <c r="C93" s="230">
        <v>300</v>
      </c>
      <c r="D93" s="252">
        <v>4</v>
      </c>
      <c r="E93" s="230">
        <f>1.6*C93</f>
        <v>480</v>
      </c>
      <c r="F93" s="231" t="s">
        <v>39</v>
      </c>
      <c r="G93" s="232" t="s">
        <v>16</v>
      </c>
      <c r="H93" s="233" t="s">
        <v>16</v>
      </c>
      <c r="I93" s="230" t="s">
        <v>16</v>
      </c>
      <c r="J93" s="230" t="s">
        <v>16</v>
      </c>
      <c r="K93" s="234" t="s">
        <v>16</v>
      </c>
      <c r="L93" s="230">
        <f>AVERAGE(268,328,328,301,350,340,350,364)</f>
        <v>328.625</v>
      </c>
      <c r="M93" s="234" t="s">
        <v>1008</v>
      </c>
      <c r="N93" s="230">
        <f>AVERAGE(428,479,440,405,401)</f>
        <v>430.6</v>
      </c>
      <c r="O93" s="230" t="s">
        <v>793</v>
      </c>
      <c r="P93" s="228" t="s">
        <v>16</v>
      </c>
      <c r="Q93" s="222" t="s">
        <v>16</v>
      </c>
      <c r="R93" s="227" t="s">
        <v>16</v>
      </c>
      <c r="S93" s="228" t="s">
        <v>16</v>
      </c>
      <c r="T93" s="222" t="s">
        <v>16</v>
      </c>
      <c r="U93" s="227" t="s">
        <v>16</v>
      </c>
      <c r="V93" s="141"/>
      <c r="W93" s="141"/>
    </row>
    <row r="94" spans="1:23" s="149" customFormat="1" ht="12.6" customHeight="1">
      <c r="A94" s="221" t="s">
        <v>116</v>
      </c>
      <c r="B94" s="213" t="s">
        <v>237</v>
      </c>
      <c r="C94" s="253" t="s">
        <v>225</v>
      </c>
      <c r="D94" s="222" t="s">
        <v>75</v>
      </c>
      <c r="E94" s="222" t="s">
        <v>226</v>
      </c>
      <c r="F94" s="224" t="s">
        <v>83</v>
      </c>
      <c r="G94" s="225">
        <v>0.14000000000000001</v>
      </c>
      <c r="H94" s="226">
        <v>0.35</v>
      </c>
      <c r="I94" s="222">
        <v>71.5</v>
      </c>
      <c r="J94" s="222">
        <v>68</v>
      </c>
      <c r="K94" s="227" t="s">
        <v>31</v>
      </c>
      <c r="L94" s="222">
        <f>AVERAGE(250,275,299,300,319,350,321,401,386,311,335,340)</f>
        <v>323.91666666666669</v>
      </c>
      <c r="M94" s="227" t="s">
        <v>1092</v>
      </c>
      <c r="N94" s="222">
        <f>AVERAGE(398,529,425,450,450,467,501,395,470,425)</f>
        <v>451</v>
      </c>
      <c r="O94" s="222" t="s">
        <v>793</v>
      </c>
      <c r="P94" s="254" t="s">
        <v>16</v>
      </c>
      <c r="Q94" s="255" t="s">
        <v>16</v>
      </c>
      <c r="R94" s="256" t="s">
        <v>16</v>
      </c>
      <c r="S94" s="254">
        <v>375</v>
      </c>
      <c r="T94" s="255" t="s">
        <v>862</v>
      </c>
      <c r="U94" s="256" t="s">
        <v>33</v>
      </c>
      <c r="V94" s="141"/>
      <c r="W94" s="141"/>
    </row>
    <row r="95" spans="1:23" s="149" customFormat="1" ht="12.6" customHeight="1">
      <c r="A95" s="221" t="s">
        <v>116</v>
      </c>
      <c r="B95" s="213" t="s">
        <v>282</v>
      </c>
      <c r="C95" s="253" t="s">
        <v>283</v>
      </c>
      <c r="D95" s="223">
        <v>2.8</v>
      </c>
      <c r="E95" s="222" t="s">
        <v>284</v>
      </c>
      <c r="F95" s="224" t="s">
        <v>83</v>
      </c>
      <c r="G95" s="225">
        <v>0.3</v>
      </c>
      <c r="H95" s="226">
        <v>0.56000000000000005</v>
      </c>
      <c r="I95" s="222">
        <v>89</v>
      </c>
      <c r="J95" s="222">
        <v>84</v>
      </c>
      <c r="K95" s="227">
        <v>77</v>
      </c>
      <c r="L95" s="222">
        <f>AVERAGE(266,271,325,320,305,320,316,260,338)</f>
        <v>302.33333333333331</v>
      </c>
      <c r="M95" s="227" t="s">
        <v>1092</v>
      </c>
      <c r="N95" s="222">
        <f>AVERAGE(382,315,419,437,385,381,370)</f>
        <v>384.14285714285717</v>
      </c>
      <c r="O95" s="222" t="s">
        <v>1001</v>
      </c>
      <c r="P95" s="228">
        <v>367</v>
      </c>
      <c r="Q95" s="222" t="s">
        <v>881</v>
      </c>
      <c r="R95" s="227" t="s">
        <v>30</v>
      </c>
      <c r="S95" s="228">
        <v>400</v>
      </c>
      <c r="T95" s="222" t="s">
        <v>821</v>
      </c>
      <c r="U95" s="227" t="s">
        <v>30</v>
      </c>
      <c r="V95" s="141"/>
      <c r="W95" s="141"/>
    </row>
    <row r="96" spans="1:23" s="149" customFormat="1" ht="12.6" customHeight="1">
      <c r="A96" s="221" t="s">
        <v>116</v>
      </c>
      <c r="B96" s="213" t="s">
        <v>170</v>
      </c>
      <c r="C96" s="253" t="s">
        <v>91</v>
      </c>
      <c r="D96" s="222">
        <v>4</v>
      </c>
      <c r="E96" s="222" t="s">
        <v>92</v>
      </c>
      <c r="F96" s="224" t="s">
        <v>83</v>
      </c>
      <c r="G96" s="225">
        <v>0.56999999999999995</v>
      </c>
      <c r="H96" s="226">
        <v>0.3</v>
      </c>
      <c r="I96" s="222">
        <v>89.5</v>
      </c>
      <c r="J96" s="222">
        <v>84</v>
      </c>
      <c r="K96" s="227">
        <v>77</v>
      </c>
      <c r="L96" s="222">
        <f>AVERAGE(344,359,326,236,320,298,267,355,325,340)</f>
        <v>317</v>
      </c>
      <c r="M96" s="227" t="s">
        <v>1092</v>
      </c>
      <c r="N96" s="222">
        <f>AVERAGE(375,375,419,419,395,475,499,492,395)</f>
        <v>427.11111111111109</v>
      </c>
      <c r="O96" s="222" t="s">
        <v>1008</v>
      </c>
      <c r="P96" s="249" t="s">
        <v>379</v>
      </c>
      <c r="Q96" s="222" t="s">
        <v>881</v>
      </c>
      <c r="R96" s="250" t="s">
        <v>33</v>
      </c>
      <c r="S96" s="249" t="s">
        <v>857</v>
      </c>
      <c r="T96" s="222" t="s">
        <v>881</v>
      </c>
      <c r="U96" s="250" t="s">
        <v>33</v>
      </c>
      <c r="V96" s="141"/>
      <c r="W96" s="141"/>
    </row>
    <row r="97" spans="1:23" s="149" customFormat="1" ht="12.6" customHeight="1">
      <c r="A97" s="221" t="s">
        <v>116</v>
      </c>
      <c r="B97" s="213" t="s">
        <v>450</v>
      </c>
      <c r="C97" s="253" t="s">
        <v>451</v>
      </c>
      <c r="D97" s="223">
        <v>2.8</v>
      </c>
      <c r="E97" s="222" t="s">
        <v>452</v>
      </c>
      <c r="F97" s="224" t="s">
        <v>39</v>
      </c>
      <c r="G97" s="225">
        <v>0.28000000000000003</v>
      </c>
      <c r="H97" s="226">
        <v>0.95</v>
      </c>
      <c r="I97" s="222">
        <v>133.30000000000001</v>
      </c>
      <c r="J97" s="222">
        <v>90</v>
      </c>
      <c r="K97" s="227" t="s">
        <v>31</v>
      </c>
      <c r="L97" s="222">
        <f>AVERAGE(430,419,499,488,480,375,485,492,477)</f>
        <v>460.55555555555554</v>
      </c>
      <c r="M97" s="227" t="s">
        <v>1001</v>
      </c>
      <c r="N97" s="257">
        <f>AVERAGE(639,785,700)</f>
        <v>708</v>
      </c>
      <c r="O97" s="222" t="s">
        <v>793</v>
      </c>
      <c r="P97" s="249" t="s">
        <v>870</v>
      </c>
      <c r="Q97" s="222" t="s">
        <v>881</v>
      </c>
      <c r="R97" s="250" t="s">
        <v>30</v>
      </c>
      <c r="S97" s="249" t="s">
        <v>562</v>
      </c>
      <c r="T97" s="222" t="s">
        <v>559</v>
      </c>
      <c r="U97" s="250" t="s">
        <v>30</v>
      </c>
      <c r="V97" s="141"/>
      <c r="W97" s="141"/>
    </row>
    <row r="98" spans="1:23" s="149" customFormat="1" ht="12.6" customHeight="1">
      <c r="A98" s="221" t="s">
        <v>116</v>
      </c>
      <c r="B98" s="213" t="s">
        <v>578</v>
      </c>
      <c r="C98" s="253" t="s">
        <v>49</v>
      </c>
      <c r="D98" s="223">
        <v>4</v>
      </c>
      <c r="E98" s="222" t="s">
        <v>50</v>
      </c>
      <c r="F98" s="224" t="s">
        <v>39</v>
      </c>
      <c r="G98" s="225">
        <v>0.27900000000000003</v>
      </c>
      <c r="H98" s="226">
        <v>0.6</v>
      </c>
      <c r="I98" s="222">
        <v>94</v>
      </c>
      <c r="J98" s="222">
        <v>88.9</v>
      </c>
      <c r="K98" s="227">
        <v>82</v>
      </c>
      <c r="L98" s="222">
        <f>AVERAGE(232,255,280,240,342)</f>
        <v>269.8</v>
      </c>
      <c r="M98" s="239" t="s">
        <v>807</v>
      </c>
      <c r="N98" s="222">
        <f>AVERAGE(290,379,399)</f>
        <v>356</v>
      </c>
      <c r="O98" s="237" t="s">
        <v>852</v>
      </c>
      <c r="P98" s="249" t="s">
        <v>16</v>
      </c>
      <c r="Q98" s="222" t="s">
        <v>16</v>
      </c>
      <c r="R98" s="250" t="s">
        <v>16</v>
      </c>
      <c r="S98" s="249" t="s">
        <v>16</v>
      </c>
      <c r="T98" s="222" t="s">
        <v>16</v>
      </c>
      <c r="U98" s="250" t="s">
        <v>16</v>
      </c>
      <c r="V98" s="141"/>
      <c r="W98" s="141"/>
    </row>
    <row r="99" spans="1:23" s="161" customFormat="1" ht="12.6" customHeight="1">
      <c r="A99" s="258" t="s">
        <v>116</v>
      </c>
      <c r="B99" s="259" t="s">
        <v>171</v>
      </c>
      <c r="C99" s="222" t="s">
        <v>53</v>
      </c>
      <c r="D99" s="223">
        <v>2.8</v>
      </c>
      <c r="E99" s="222" t="s">
        <v>54</v>
      </c>
      <c r="F99" s="224" t="s">
        <v>39</v>
      </c>
      <c r="G99" s="225">
        <v>0.52</v>
      </c>
      <c r="H99" s="226">
        <v>0.59</v>
      </c>
      <c r="I99" s="222">
        <v>86</v>
      </c>
      <c r="J99" s="222">
        <v>84</v>
      </c>
      <c r="K99" s="227">
        <v>77</v>
      </c>
      <c r="L99" s="222">
        <f>AVERAGE(176,182,183)</f>
        <v>180.33333333333334</v>
      </c>
      <c r="M99" s="227" t="s">
        <v>881</v>
      </c>
      <c r="N99" s="222">
        <f>AVERAGE(230,350,317,279)</f>
        <v>294</v>
      </c>
      <c r="O99" s="222" t="s">
        <v>1092</v>
      </c>
      <c r="P99" s="228">
        <v>275</v>
      </c>
      <c r="Q99" s="222" t="s">
        <v>677</v>
      </c>
      <c r="R99" s="227" t="s">
        <v>30</v>
      </c>
      <c r="S99" s="228" t="s">
        <v>16</v>
      </c>
      <c r="T99" s="222" t="s">
        <v>16</v>
      </c>
      <c r="U99" s="227" t="s">
        <v>16</v>
      </c>
      <c r="V99" s="141"/>
      <c r="W99" s="141"/>
    </row>
    <row r="100" spans="1:23" s="149" customFormat="1" ht="12.6" customHeight="1">
      <c r="A100" s="221" t="s">
        <v>116</v>
      </c>
      <c r="B100" s="213" t="s">
        <v>243</v>
      </c>
      <c r="C100" s="237" t="s">
        <v>117</v>
      </c>
      <c r="D100" s="223">
        <v>2.8</v>
      </c>
      <c r="E100" s="237" t="s">
        <v>534</v>
      </c>
      <c r="F100" s="224" t="s">
        <v>31</v>
      </c>
      <c r="G100" s="225">
        <v>0.4</v>
      </c>
      <c r="H100" s="226">
        <v>0.505</v>
      </c>
      <c r="I100" s="222">
        <v>79</v>
      </c>
      <c r="J100" s="222">
        <v>75</v>
      </c>
      <c r="K100" s="237">
        <v>72</v>
      </c>
      <c r="L100" s="228">
        <f>AVERAGE(135,147,130,139)</f>
        <v>137.75</v>
      </c>
      <c r="M100" s="260" t="s">
        <v>1092</v>
      </c>
      <c r="N100" s="222">
        <f>AVERAGE(180,177,197,135,176)</f>
        <v>173</v>
      </c>
      <c r="O100" s="227" t="s">
        <v>1092</v>
      </c>
      <c r="P100" s="228">
        <v>140</v>
      </c>
      <c r="Q100" s="226" t="s">
        <v>550</v>
      </c>
      <c r="R100" s="260" t="s">
        <v>32</v>
      </c>
      <c r="S100" s="242" t="s">
        <v>16</v>
      </c>
      <c r="T100" s="226" t="s">
        <v>16</v>
      </c>
      <c r="U100" s="260" t="s">
        <v>16</v>
      </c>
      <c r="V100" s="141"/>
      <c r="W100" s="141"/>
    </row>
    <row r="101" spans="1:23" s="149" customFormat="1" ht="11.25" customHeight="1">
      <c r="A101" s="221" t="s">
        <v>116</v>
      </c>
      <c r="B101" s="213" t="s">
        <v>172</v>
      </c>
      <c r="C101" s="237" t="s">
        <v>59</v>
      </c>
      <c r="D101" s="223">
        <v>2.8</v>
      </c>
      <c r="E101" s="237" t="s">
        <v>96</v>
      </c>
      <c r="F101" s="224" t="s">
        <v>39</v>
      </c>
      <c r="G101" s="225">
        <v>0.7</v>
      </c>
      <c r="H101" s="226">
        <v>0.72</v>
      </c>
      <c r="I101" s="222">
        <v>108</v>
      </c>
      <c r="J101" s="222">
        <v>84</v>
      </c>
      <c r="K101" s="227">
        <v>77</v>
      </c>
      <c r="L101" s="228">
        <f>AVERAGE(229,190,185,187,249,225,215,200,268,206,226)</f>
        <v>216.36363636363637</v>
      </c>
      <c r="M101" s="260" t="s">
        <v>1092</v>
      </c>
      <c r="N101" s="222">
        <f>AVERAGE(250,240,365,398,304,315,330)</f>
        <v>314.57142857142856</v>
      </c>
      <c r="O101" s="226" t="s">
        <v>1008</v>
      </c>
      <c r="P101" s="228">
        <v>415</v>
      </c>
      <c r="Q101" s="226" t="s">
        <v>560</v>
      </c>
      <c r="R101" s="260" t="s">
        <v>30</v>
      </c>
      <c r="S101" s="228" t="s">
        <v>16</v>
      </c>
      <c r="T101" s="226" t="s">
        <v>16</v>
      </c>
      <c r="U101" s="260" t="s">
        <v>16</v>
      </c>
      <c r="V101" s="141"/>
      <c r="W101" s="141"/>
    </row>
    <row r="102" spans="1:23" s="149" customFormat="1" ht="12.6" customHeight="1">
      <c r="A102" s="221" t="s">
        <v>116</v>
      </c>
      <c r="B102" s="213" t="s">
        <v>228</v>
      </c>
      <c r="C102" s="237" t="s">
        <v>59</v>
      </c>
      <c r="D102" s="223" t="s">
        <v>118</v>
      </c>
      <c r="E102" s="237" t="s">
        <v>96</v>
      </c>
      <c r="F102" s="224" t="s">
        <v>39</v>
      </c>
      <c r="G102" s="225">
        <v>0.7</v>
      </c>
      <c r="H102" s="226">
        <v>0.75</v>
      </c>
      <c r="I102" s="222">
        <v>107</v>
      </c>
      <c r="J102" s="222">
        <v>79</v>
      </c>
      <c r="K102" s="227">
        <v>77</v>
      </c>
      <c r="L102" s="222">
        <f>AVERAGE(270,258,213,272)</f>
        <v>253.25</v>
      </c>
      <c r="M102" s="227" t="s">
        <v>734</v>
      </c>
      <c r="N102" s="222">
        <f>AVERAGE(326,400,315,395,375,300,255,329)</f>
        <v>336.875</v>
      </c>
      <c r="O102" s="226" t="s">
        <v>606</v>
      </c>
      <c r="P102" s="228">
        <v>310</v>
      </c>
      <c r="Q102" s="226" t="s">
        <v>677</v>
      </c>
      <c r="R102" s="260" t="s">
        <v>30</v>
      </c>
      <c r="S102" s="228" t="s">
        <v>16</v>
      </c>
      <c r="T102" s="226" t="s">
        <v>16</v>
      </c>
      <c r="U102" s="260" t="s">
        <v>16</v>
      </c>
      <c r="V102" s="141"/>
      <c r="W102" s="141"/>
    </row>
    <row r="103" spans="1:23" ht="12.6" customHeight="1">
      <c r="A103" s="91" t="s">
        <v>116</v>
      </c>
      <c r="B103" s="57" t="s">
        <v>173</v>
      </c>
      <c r="C103" s="109" t="s">
        <v>61</v>
      </c>
      <c r="D103" s="98">
        <v>2.8</v>
      </c>
      <c r="E103" s="109" t="s">
        <v>63</v>
      </c>
      <c r="F103" s="93" t="s">
        <v>39</v>
      </c>
      <c r="G103" s="94">
        <v>0.5</v>
      </c>
      <c r="H103" s="95">
        <v>0.82</v>
      </c>
      <c r="I103" s="92">
        <v>120</v>
      </c>
      <c r="J103" s="92">
        <v>84</v>
      </c>
      <c r="K103" s="96">
        <v>77</v>
      </c>
      <c r="L103" s="92">
        <f>AVERAGE(238,255,221,289,270,275)</f>
        <v>258</v>
      </c>
      <c r="M103" s="96" t="s">
        <v>881</v>
      </c>
      <c r="N103" s="92">
        <f>AVERAGE(292,339,350,368,368,320)</f>
        <v>339.5</v>
      </c>
      <c r="O103" s="95" t="s">
        <v>1092</v>
      </c>
      <c r="P103" s="97">
        <v>245</v>
      </c>
      <c r="Q103" s="95" t="s">
        <v>677</v>
      </c>
      <c r="R103" s="114" t="s">
        <v>30</v>
      </c>
      <c r="S103" s="97" t="s">
        <v>16</v>
      </c>
      <c r="T103" s="95" t="s">
        <v>16</v>
      </c>
      <c r="U103" s="114" t="s">
        <v>16</v>
      </c>
      <c r="V103" s="16"/>
      <c r="W103" s="16"/>
    </row>
    <row r="104" spans="1:23" ht="12.6" customHeight="1">
      <c r="A104" s="91" t="s">
        <v>116</v>
      </c>
      <c r="B104" s="57" t="s">
        <v>174</v>
      </c>
      <c r="C104" s="109" t="s">
        <v>66</v>
      </c>
      <c r="D104" s="98">
        <v>2.8</v>
      </c>
      <c r="E104" s="109" t="s">
        <v>67</v>
      </c>
      <c r="F104" s="93" t="s">
        <v>39</v>
      </c>
      <c r="G104" s="94">
        <v>1.8</v>
      </c>
      <c r="H104" s="95">
        <v>1.35</v>
      </c>
      <c r="I104" s="92">
        <v>184</v>
      </c>
      <c r="J104" s="92">
        <v>84</v>
      </c>
      <c r="K104" s="96">
        <v>77</v>
      </c>
      <c r="L104" s="97">
        <f>AVERAGE(378,355,213,345,400,350,438,305)</f>
        <v>348</v>
      </c>
      <c r="M104" s="108" t="s">
        <v>1092</v>
      </c>
      <c r="N104" s="92">
        <f>AVERAGE(400,515,620,530,600,525,510)</f>
        <v>528.57142857142856</v>
      </c>
      <c r="O104" s="36" t="s">
        <v>810</v>
      </c>
      <c r="P104" s="112" t="s">
        <v>764</v>
      </c>
      <c r="Q104" s="92" t="s">
        <v>765</v>
      </c>
      <c r="R104" s="113" t="s">
        <v>33</v>
      </c>
      <c r="S104" s="112" t="s">
        <v>16</v>
      </c>
      <c r="T104" s="92" t="s">
        <v>16</v>
      </c>
      <c r="U104" s="113" t="s">
        <v>16</v>
      </c>
      <c r="V104" s="16"/>
      <c r="W104" s="16"/>
    </row>
    <row r="105" spans="1:23" ht="12.6" customHeight="1">
      <c r="A105" s="91" t="s">
        <v>116</v>
      </c>
      <c r="B105" s="143" t="s">
        <v>872</v>
      </c>
      <c r="C105" s="109" t="s">
        <v>77</v>
      </c>
      <c r="D105" s="98">
        <v>4</v>
      </c>
      <c r="E105" s="109" t="s">
        <v>238</v>
      </c>
      <c r="F105" s="93" t="s">
        <v>39</v>
      </c>
      <c r="G105" s="94">
        <v>2</v>
      </c>
      <c r="H105" s="95">
        <v>1.52</v>
      </c>
      <c r="I105" s="92">
        <v>228.6</v>
      </c>
      <c r="J105" s="92">
        <v>81.3</v>
      </c>
      <c r="K105" s="96">
        <v>77</v>
      </c>
      <c r="L105" s="97">
        <f>AVERAGE(189,200)</f>
        <v>194.5</v>
      </c>
      <c r="M105" s="108" t="s">
        <v>881</v>
      </c>
      <c r="N105" s="92">
        <f>AVERAGE(375,400,300)</f>
        <v>358.33333333333331</v>
      </c>
      <c r="O105" s="36" t="s">
        <v>813</v>
      </c>
      <c r="P105" s="112">
        <v>295</v>
      </c>
      <c r="Q105" s="92" t="s">
        <v>550</v>
      </c>
      <c r="R105" s="113" t="s">
        <v>512</v>
      </c>
      <c r="S105" s="112" t="s">
        <v>16</v>
      </c>
      <c r="T105" s="92" t="s">
        <v>16</v>
      </c>
      <c r="U105" s="113" t="s">
        <v>16</v>
      </c>
      <c r="V105" s="16"/>
      <c r="W105" s="16"/>
    </row>
    <row r="106" spans="1:23" ht="12.6" customHeight="1">
      <c r="A106" s="101" t="s">
        <v>116</v>
      </c>
      <c r="B106" s="144" t="s">
        <v>795</v>
      </c>
      <c r="C106" s="102" t="s">
        <v>255</v>
      </c>
      <c r="D106" s="103">
        <v>5.6</v>
      </c>
      <c r="E106" s="102" t="s">
        <v>256</v>
      </c>
      <c r="F106" s="104" t="s">
        <v>31</v>
      </c>
      <c r="G106" s="105">
        <v>3.1</v>
      </c>
      <c r="H106" s="106">
        <v>2.2400000000000002</v>
      </c>
      <c r="I106" s="102">
        <v>314</v>
      </c>
      <c r="J106" s="102">
        <v>104</v>
      </c>
      <c r="K106" s="107">
        <v>95</v>
      </c>
      <c r="L106" s="110">
        <f>AVERAGE(228,150,228,234,219,229)</f>
        <v>214.66666666666666</v>
      </c>
      <c r="M106" s="107" t="s">
        <v>1092</v>
      </c>
      <c r="N106" s="102">
        <f>AVERAGE(298,299,280,335,294,290)</f>
        <v>299.33333333333331</v>
      </c>
      <c r="O106" s="107" t="s">
        <v>1092</v>
      </c>
      <c r="P106" s="110" t="s">
        <v>16</v>
      </c>
      <c r="Q106" s="102" t="s">
        <v>16</v>
      </c>
      <c r="R106" s="107" t="s">
        <v>16</v>
      </c>
      <c r="S106" s="110">
        <v>450</v>
      </c>
      <c r="T106" s="102" t="s">
        <v>821</v>
      </c>
      <c r="U106" s="107" t="s">
        <v>32</v>
      </c>
      <c r="V106" s="16"/>
      <c r="W106" s="16"/>
    </row>
  </sheetData>
  <sheetProtection password="990B" sheet="1" objects="1" scenarios="1"/>
  <phoneticPr fontId="0" type="noConversion"/>
  <conditionalFormatting sqref="O92:O97 M92:M95 M34:M38 O34:O38 O99:O103 O32 O106:O65546 M21 O21 O77:O88 O16:O19 O49 M97 M77:M89 M57:M62 M15:M19 M32 M69:M74 O57:O62 M99:M104 M1:M7 O1:O7 M107:M65546 M66 O64:O74 M64 O11:O13 M11:M13 O24:O29 O44:O47 M44:M47 O9 M9 O41:O42 M41:M42 O51:O52 M24:M30">
    <cfRule type="cellIs" dxfId="378" priority="57" stopIfTrue="1" operator="lessThan">
      <formula>".08-09"</formula>
    </cfRule>
  </conditionalFormatting>
  <conditionalFormatting sqref="O90 M90 O53 M48:M49 M56 O56 M51:M53">
    <cfRule type="cellIs" dxfId="377" priority="58" stopIfTrue="1" operator="lessThan">
      <formula>".07-06"</formula>
    </cfRule>
  </conditionalFormatting>
  <conditionalFormatting sqref="M33 O33">
    <cfRule type="cellIs" dxfId="376" priority="56" stopIfTrue="1" operator="lessThan">
      <formula>".08-09"</formula>
    </cfRule>
  </conditionalFormatting>
  <conditionalFormatting sqref="M98 O98">
    <cfRule type="cellIs" dxfId="375" priority="53" stopIfTrue="1" operator="lessThan">
      <formula>".08-09"</formula>
    </cfRule>
  </conditionalFormatting>
  <conditionalFormatting sqref="M67">
    <cfRule type="cellIs" dxfId="374" priority="52" stopIfTrue="1" operator="lessThan">
      <formula>".08-09"</formula>
    </cfRule>
  </conditionalFormatting>
  <conditionalFormatting sqref="M23 O23">
    <cfRule type="cellIs" dxfId="373" priority="50" stopIfTrue="1" operator="lessThan">
      <formula>".08-09"</formula>
    </cfRule>
  </conditionalFormatting>
  <conditionalFormatting sqref="M22 O22">
    <cfRule type="cellIs" dxfId="372" priority="49" stopIfTrue="1" operator="lessThan">
      <formula>".08-09"</formula>
    </cfRule>
  </conditionalFormatting>
  <conditionalFormatting sqref="M20 O20">
    <cfRule type="cellIs" dxfId="371" priority="48" stopIfTrue="1" operator="lessThan">
      <formula>".08-09"</formula>
    </cfRule>
  </conditionalFormatting>
  <conditionalFormatting sqref="M68">
    <cfRule type="cellIs" dxfId="370" priority="46" stopIfTrue="1" operator="lessThan">
      <formula>".08-09"</formula>
    </cfRule>
  </conditionalFormatting>
  <conditionalFormatting sqref="O15">
    <cfRule type="cellIs" dxfId="369" priority="45" stopIfTrue="1" operator="lessThan">
      <formula>".08-09"</formula>
    </cfRule>
  </conditionalFormatting>
  <conditionalFormatting sqref="O48">
    <cfRule type="cellIs" dxfId="368" priority="43" stopIfTrue="1" operator="lessThan">
      <formula>".08-09"</formula>
    </cfRule>
  </conditionalFormatting>
  <conditionalFormatting sqref="M96">
    <cfRule type="cellIs" dxfId="367" priority="42" stopIfTrue="1" operator="lessThan">
      <formula>".08-09"</formula>
    </cfRule>
  </conditionalFormatting>
  <conditionalFormatting sqref="O76">
    <cfRule type="cellIs" dxfId="366" priority="40" stopIfTrue="1" operator="lessThan">
      <formula>".08-09"</formula>
    </cfRule>
  </conditionalFormatting>
  <conditionalFormatting sqref="M75">
    <cfRule type="cellIs" dxfId="365" priority="39" stopIfTrue="1" operator="lessThan">
      <formula>".08-09"</formula>
    </cfRule>
  </conditionalFormatting>
  <conditionalFormatting sqref="O75">
    <cfRule type="cellIs" dxfId="364" priority="38" stopIfTrue="1" operator="lessThan">
      <formula>".08-09"</formula>
    </cfRule>
  </conditionalFormatting>
  <conditionalFormatting sqref="M76">
    <cfRule type="cellIs" dxfId="363" priority="37" stopIfTrue="1" operator="lessThan">
      <formula>".08-09"</formula>
    </cfRule>
  </conditionalFormatting>
  <conditionalFormatting sqref="M39">
    <cfRule type="cellIs" dxfId="362" priority="36" stopIfTrue="1" operator="lessThan">
      <formula>".08-09"</formula>
    </cfRule>
  </conditionalFormatting>
  <conditionalFormatting sqref="O39">
    <cfRule type="cellIs" dxfId="361" priority="35" stopIfTrue="1" operator="lessThan">
      <formula>".08-09"</formula>
    </cfRule>
  </conditionalFormatting>
  <conditionalFormatting sqref="O40 M40">
    <cfRule type="cellIs" dxfId="360" priority="34" stopIfTrue="1" operator="lessThan">
      <formula>".08-09"</formula>
    </cfRule>
  </conditionalFormatting>
  <conditionalFormatting sqref="M14">
    <cfRule type="cellIs" dxfId="359" priority="33" stopIfTrue="1" operator="lessThan">
      <formula>".08-09"</formula>
    </cfRule>
  </conditionalFormatting>
  <conditionalFormatting sqref="O14">
    <cfRule type="cellIs" dxfId="358" priority="32" stopIfTrue="1" operator="lessThan">
      <formula>".08-09"</formula>
    </cfRule>
  </conditionalFormatting>
  <conditionalFormatting sqref="M31">
    <cfRule type="cellIs" dxfId="357" priority="31" stopIfTrue="1" operator="lessThan">
      <formula>".08-09"</formula>
    </cfRule>
  </conditionalFormatting>
  <conditionalFormatting sqref="O89">
    <cfRule type="cellIs" dxfId="356" priority="30" stopIfTrue="1" operator="lessThan">
      <formula>".08-09"</formula>
    </cfRule>
  </conditionalFormatting>
  <conditionalFormatting sqref="O91">
    <cfRule type="cellIs" dxfId="355" priority="29" stopIfTrue="1" operator="lessThan">
      <formula>".08-09"</formula>
    </cfRule>
  </conditionalFormatting>
  <conditionalFormatting sqref="O43 M43">
    <cfRule type="cellIs" dxfId="354" priority="27" stopIfTrue="1" operator="lessThan">
      <formula>".08-09"</formula>
    </cfRule>
  </conditionalFormatting>
  <conditionalFormatting sqref="O105 M105">
    <cfRule type="cellIs" dxfId="353" priority="25" stopIfTrue="1" operator="lessThan">
      <formula>".08-09"</formula>
    </cfRule>
  </conditionalFormatting>
  <conditionalFormatting sqref="M105">
    <cfRule type="cellIs" dxfId="352" priority="24" stopIfTrue="1" operator="lessThan">
      <formula>".08-09"</formula>
    </cfRule>
  </conditionalFormatting>
  <conditionalFormatting sqref="O106">
    <cfRule type="cellIs" dxfId="351" priority="23" stopIfTrue="1" operator="lessThan">
      <formula>".08-09"</formula>
    </cfRule>
  </conditionalFormatting>
  <conditionalFormatting sqref="M106">
    <cfRule type="cellIs" dxfId="350" priority="22" stopIfTrue="1" operator="lessThan">
      <formula>".08-09"</formula>
    </cfRule>
  </conditionalFormatting>
  <conditionalFormatting sqref="M65">
    <cfRule type="cellIs" dxfId="349" priority="21" stopIfTrue="1" operator="lessThan">
      <formula>".08-09"</formula>
    </cfRule>
  </conditionalFormatting>
  <conditionalFormatting sqref="M63 O63">
    <cfRule type="cellIs" dxfId="348" priority="20" stopIfTrue="1" operator="lessThan">
      <formula>".08-09"</formula>
    </cfRule>
  </conditionalFormatting>
  <conditionalFormatting sqref="M10 O10">
    <cfRule type="cellIs" dxfId="347" priority="18" stopIfTrue="1" operator="lessThan">
      <formula>".08-09"</formula>
    </cfRule>
  </conditionalFormatting>
  <conditionalFormatting sqref="M8">
    <cfRule type="cellIs" dxfId="346" priority="14" stopIfTrue="1" operator="lessThan">
      <formula>".08-09"</formula>
    </cfRule>
  </conditionalFormatting>
  <conditionalFormatting sqref="O8">
    <cfRule type="cellIs" dxfId="345" priority="13" stopIfTrue="1" operator="lessThan">
      <formula>".08-09"</formula>
    </cfRule>
  </conditionalFormatting>
  <conditionalFormatting sqref="M54 O54">
    <cfRule type="cellIs" dxfId="344" priority="12" stopIfTrue="1" operator="lessThan">
      <formula>".07-06"</formula>
    </cfRule>
  </conditionalFormatting>
  <conditionalFormatting sqref="O54 M54">
    <cfRule type="cellIs" dxfId="343" priority="11" stopIfTrue="1" operator="lessThan">
      <formula>".07-06"</formula>
    </cfRule>
  </conditionalFormatting>
  <conditionalFormatting sqref="M56 O56">
    <cfRule type="cellIs" dxfId="342" priority="10" stopIfTrue="1" operator="lessThan">
      <formula>".07-06"</formula>
    </cfRule>
  </conditionalFormatting>
  <conditionalFormatting sqref="O50">
    <cfRule type="cellIs" dxfId="341" priority="8" stopIfTrue="1" operator="lessThan">
      <formula>".08-09"</formula>
    </cfRule>
  </conditionalFormatting>
  <conditionalFormatting sqref="M50">
    <cfRule type="cellIs" dxfId="340" priority="9" stopIfTrue="1" operator="lessThan">
      <formula>".07-06"</formula>
    </cfRule>
  </conditionalFormatting>
  <conditionalFormatting sqref="M91">
    <cfRule type="cellIs" dxfId="339" priority="7" stopIfTrue="1" operator="lessThan">
      <formula>".07-06"</formula>
    </cfRule>
  </conditionalFormatting>
  <conditionalFormatting sqref="M55 O55">
    <cfRule type="cellIs" dxfId="338" priority="6" stopIfTrue="1" operator="lessThan">
      <formula>".07-06"</formula>
    </cfRule>
  </conditionalFormatting>
  <conditionalFormatting sqref="M55 O55">
    <cfRule type="cellIs" dxfId="337" priority="5" stopIfTrue="1" operator="lessThan">
      <formula>".07-06"</formula>
    </cfRule>
  </conditionalFormatting>
  <conditionalFormatting sqref="M55 O55">
    <cfRule type="cellIs" dxfId="336" priority="4" stopIfTrue="1" operator="lessThan">
      <formula>".07-06"</formula>
    </cfRule>
  </conditionalFormatting>
  <conditionalFormatting sqref="O55 M55">
    <cfRule type="cellIs" dxfId="335" priority="3" stopIfTrue="1" operator="lessThan">
      <formula>".07-06"</formula>
    </cfRule>
  </conditionalFormatting>
  <conditionalFormatting sqref="M56 O56">
    <cfRule type="cellIs" dxfId="334" priority="2" stopIfTrue="1" operator="lessThan">
      <formula>".07-06"</formula>
    </cfRule>
  </conditionalFormatting>
  <conditionalFormatting sqref="M56 O56">
    <cfRule type="cellIs" dxfId="333" priority="1" stopIfTrue="1" operator="lessThan">
      <formula>".07-06"</formula>
    </cfRule>
  </conditionalFormatting>
  <pageMargins left="0.3" right="0" top="0.5" bottom="0" header="0.59055118110236204" footer="0.511811023622047"/>
  <pageSetup orientation="landscape" r:id="rId1"/>
  <headerFooter alignWithMargins="0">
    <oddHeader>&amp;R&amp;9(&amp;P of &amp;N)</oddHeader>
  </headerFooter>
  <rowBreaks count="2" manualBreakCount="2">
    <brk id="45" max="16383" man="1"/>
    <brk id="85" max="16383" man="1"/>
  </rowBreaks>
  <ignoredErrors>
    <ignoredError sqref="E56:E64 N91:O91 N11:O11 N12 P12 N17:P17 N24:O24 P26 P25 N33 N37:O37 L44:P44 P43 L46:P46 L45 N45:P45 N61:P61 N64:P64 P63 L72:P72 L69:N69 N78:P78 P74 L83:P86 P89 L102:O102 N104:O104 N105 N57:P57 N97:O97 N94:O94 N93:O93 E9 N27:P27 P105 N67:P67 P65 N28:O28 L31:M31 P15 N66:O66 N80:O80 L47:O47 N39:O39 E11:E27 N62:P62 P59:P60 E7 P20 L98:M98 P48 N32:P32 N58:O58 N22:O22 E47:E49 E53 P42 P73 N16:O16" unlockedFormula="1"/>
    <ignoredError sqref="C94:E96 C87:D93 C28" twoDigitTextYear="1"/>
    <ignoredError sqref="P90:P94 P99:P104" numberStoredAsText="1" unlockedFormula="1"/>
    <ignoredError sqref="Q90:T93 Q99:T104 Q94:R94 R97:T97" numberStoredAsText="1"/>
    <ignoredError sqref="E87:E93" twoDigitTextYear="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19"/>
  <sheetViews>
    <sheetView zoomScaleNormal="100" workbookViewId="0"/>
  </sheetViews>
  <sheetFormatPr defaultRowHeight="12.6" customHeight="1"/>
  <cols>
    <col min="1" max="1" width="8.7109375" style="75" customWidth="1"/>
    <col min="2" max="2" width="22.140625" style="75" customWidth="1"/>
    <col min="3" max="3" width="6.28515625" style="15" customWidth="1"/>
    <col min="4" max="4" width="6.5703125" style="14" customWidth="1"/>
    <col min="5" max="5" width="6.28515625" style="15" customWidth="1"/>
    <col min="6" max="6" width="4.7109375" style="17" customWidth="1"/>
    <col min="7" max="7" width="4.7109375" style="48" customWidth="1"/>
    <col min="8" max="8" width="4.7109375" style="74" customWidth="1"/>
    <col min="9" max="11" width="4.7109375" style="15" customWidth="1"/>
    <col min="12" max="17" width="5.28515625" style="15" customWidth="1"/>
    <col min="18" max="18" width="7.140625" style="15" customWidth="1"/>
    <col min="19" max="20" width="5.28515625" style="15" customWidth="1"/>
    <col min="21" max="21" width="7.140625" style="15" customWidth="1"/>
    <col min="22" max="22" width="2.7109375" style="19" customWidth="1"/>
    <col min="23" max="23" width="4.85546875" style="19" customWidth="1"/>
    <col min="24" max="24" width="3.42578125" style="19" customWidth="1"/>
    <col min="25" max="16384" width="9.140625" style="19"/>
  </cols>
  <sheetData>
    <row r="1" spans="1:21" ht="12.6" customHeight="1">
      <c r="A1" s="10" t="str">
        <f>i!A1</f>
        <v>Lens$db: Lens Price database</v>
      </c>
      <c r="B1" s="30"/>
      <c r="C1" s="45" t="s">
        <v>16</v>
      </c>
      <c r="D1" s="30" t="s">
        <v>16</v>
      </c>
      <c r="E1" s="45" t="s">
        <v>16</v>
      </c>
      <c r="F1" s="30" t="s">
        <v>16</v>
      </c>
      <c r="G1" s="48" t="s">
        <v>16</v>
      </c>
      <c r="H1" s="74" t="s">
        <v>16</v>
      </c>
      <c r="I1" s="15" t="s">
        <v>16</v>
      </c>
      <c r="J1" s="60" t="s">
        <v>16</v>
      </c>
      <c r="K1" s="15" t="s">
        <v>16</v>
      </c>
      <c r="L1" s="16" t="s">
        <v>16</v>
      </c>
      <c r="M1" s="16" t="s">
        <v>16</v>
      </c>
      <c r="N1" s="16" t="s">
        <v>16</v>
      </c>
      <c r="O1" s="16" t="s">
        <v>16</v>
      </c>
      <c r="P1" s="16" t="s">
        <v>16</v>
      </c>
      <c r="Q1" s="47" t="str">
        <f>i!B3</f>
        <v>.2016-06-01</v>
      </c>
      <c r="R1" s="16"/>
      <c r="S1" s="47"/>
      <c r="T1" s="16" t="s">
        <v>16</v>
      </c>
      <c r="U1" s="16" t="s">
        <v>16</v>
      </c>
    </row>
    <row r="2" spans="1:21" ht="12.6" customHeight="1">
      <c r="A2" s="37" t="str">
        <f>i!A3</f>
        <v>v.31</v>
      </c>
      <c r="F2" s="36"/>
      <c r="G2" s="44"/>
      <c r="H2" s="53"/>
      <c r="I2" s="16"/>
      <c r="J2" s="11"/>
      <c r="K2" s="16"/>
      <c r="L2" s="16"/>
      <c r="M2" s="18"/>
      <c r="N2" s="27"/>
      <c r="O2" s="18"/>
      <c r="P2" s="27"/>
      <c r="Q2" s="18"/>
      <c r="R2" s="27"/>
      <c r="S2" s="27"/>
      <c r="T2" s="18"/>
      <c r="U2" s="27"/>
    </row>
    <row r="3" spans="1:21" s="30" customFormat="1" ht="12.6" customHeight="1">
      <c r="A3" s="37" t="s">
        <v>16</v>
      </c>
      <c r="B3" s="30" t="s">
        <v>16</v>
      </c>
      <c r="C3" s="49" t="s">
        <v>16</v>
      </c>
      <c r="D3" s="21" t="s">
        <v>16</v>
      </c>
      <c r="E3" s="49" t="s">
        <v>16</v>
      </c>
      <c r="F3" s="77" t="s">
        <v>16</v>
      </c>
      <c r="G3" s="50" t="s">
        <v>16</v>
      </c>
      <c r="H3" s="50" t="s">
        <v>16</v>
      </c>
      <c r="I3" s="50" t="s">
        <v>16</v>
      </c>
      <c r="J3" s="27" t="s">
        <v>16</v>
      </c>
      <c r="K3" s="50" t="s">
        <v>16</v>
      </c>
      <c r="L3" s="78" t="s">
        <v>16</v>
      </c>
      <c r="M3" s="28" t="s">
        <v>16</v>
      </c>
      <c r="N3" s="28" t="s">
        <v>17</v>
      </c>
      <c r="O3" s="28" t="s">
        <v>16</v>
      </c>
      <c r="P3" s="134" t="s">
        <v>16</v>
      </c>
      <c r="Q3" s="90"/>
      <c r="R3" s="31" t="s">
        <v>18</v>
      </c>
      <c r="S3" s="27"/>
      <c r="T3" s="28" t="s">
        <v>16</v>
      </c>
      <c r="U3" s="33" t="s">
        <v>16</v>
      </c>
    </row>
    <row r="4" spans="1:21" s="37" customFormat="1" ht="12.6" customHeight="1">
      <c r="A4" s="30"/>
      <c r="B4" s="30"/>
      <c r="C4" s="16" t="s">
        <v>6</v>
      </c>
      <c r="D4" s="18" t="s">
        <v>11</v>
      </c>
      <c r="E4" s="36" t="s">
        <v>760</v>
      </c>
      <c r="F4" s="17" t="s">
        <v>13</v>
      </c>
      <c r="G4" s="52" t="s">
        <v>277</v>
      </c>
      <c r="H4" s="53" t="s">
        <v>7</v>
      </c>
      <c r="I4" s="16" t="s">
        <v>325</v>
      </c>
      <c r="J4" s="16" t="s">
        <v>326</v>
      </c>
      <c r="K4" s="31" t="s">
        <v>327</v>
      </c>
      <c r="L4" s="32" t="s">
        <v>506</v>
      </c>
      <c r="M4" s="33"/>
      <c r="N4" s="34" t="s">
        <v>19</v>
      </c>
      <c r="O4" s="27"/>
      <c r="P4" s="54"/>
      <c r="Q4" s="28" t="s">
        <v>507</v>
      </c>
      <c r="R4" s="29"/>
      <c r="S4" s="135"/>
      <c r="T4" s="31" t="s">
        <v>9</v>
      </c>
      <c r="U4" s="31"/>
    </row>
    <row r="5" spans="1:21" s="37" customFormat="1" ht="12.6" customHeight="1">
      <c r="A5" s="38" t="s">
        <v>16</v>
      </c>
      <c r="B5" s="38" t="s">
        <v>16</v>
      </c>
      <c r="C5" s="27" t="s">
        <v>20</v>
      </c>
      <c r="D5" s="41" t="s">
        <v>16</v>
      </c>
      <c r="E5" s="27" t="s">
        <v>16</v>
      </c>
      <c r="F5" s="84" t="s">
        <v>16</v>
      </c>
      <c r="G5" s="55" t="s">
        <v>37</v>
      </c>
      <c r="H5" s="56" t="s">
        <v>21</v>
      </c>
      <c r="I5" s="27" t="s">
        <v>20</v>
      </c>
      <c r="J5" s="27" t="s">
        <v>20</v>
      </c>
      <c r="K5" s="33" t="s">
        <v>20</v>
      </c>
      <c r="L5" s="26" t="s">
        <v>22</v>
      </c>
      <c r="M5" s="33" t="s">
        <v>23</v>
      </c>
      <c r="N5" s="27" t="s">
        <v>22</v>
      </c>
      <c r="O5" s="27" t="s">
        <v>23</v>
      </c>
      <c r="P5" s="26" t="s">
        <v>22</v>
      </c>
      <c r="Q5" s="27" t="s">
        <v>23</v>
      </c>
      <c r="R5" s="33" t="s">
        <v>24</v>
      </c>
      <c r="S5" s="35" t="s">
        <v>22</v>
      </c>
      <c r="T5" s="28" t="s">
        <v>23</v>
      </c>
      <c r="U5" s="29" t="s">
        <v>24</v>
      </c>
    </row>
    <row r="6" spans="1:21" s="37" customFormat="1" ht="12.6" customHeight="1">
      <c r="A6" s="121" t="s">
        <v>838</v>
      </c>
      <c r="B6" s="68"/>
      <c r="C6" s="28"/>
      <c r="D6" s="69"/>
      <c r="E6" s="28"/>
      <c r="F6" s="72"/>
      <c r="G6" s="70" t="s">
        <v>16</v>
      </c>
      <c r="H6" s="71" t="s">
        <v>16</v>
      </c>
      <c r="I6" s="28" t="s">
        <v>16</v>
      </c>
      <c r="J6" s="28" t="s">
        <v>16</v>
      </c>
      <c r="K6" s="28" t="s">
        <v>16</v>
      </c>
      <c r="L6" s="28" t="s">
        <v>16</v>
      </c>
      <c r="M6" s="28" t="s">
        <v>16</v>
      </c>
      <c r="N6" s="28" t="s">
        <v>16</v>
      </c>
      <c r="O6" s="28" t="s">
        <v>16</v>
      </c>
      <c r="P6" s="28" t="s">
        <v>16</v>
      </c>
      <c r="Q6" s="28" t="s">
        <v>16</v>
      </c>
      <c r="R6" s="28" t="s">
        <v>16</v>
      </c>
      <c r="S6" s="28" t="s">
        <v>16</v>
      </c>
      <c r="T6" s="28" t="s">
        <v>16</v>
      </c>
      <c r="U6" s="28" t="s">
        <v>16</v>
      </c>
    </row>
    <row r="7" spans="1:21" ht="12" customHeight="1">
      <c r="A7" s="143" t="s">
        <v>34</v>
      </c>
      <c r="B7" s="11" t="s">
        <v>955</v>
      </c>
      <c r="C7" s="16">
        <v>21</v>
      </c>
      <c r="D7" s="18">
        <v>2.8</v>
      </c>
      <c r="E7" s="16">
        <f t="shared" ref="E7" si="0">1.6*C7</f>
        <v>33.6</v>
      </c>
      <c r="F7" s="119" t="s">
        <v>676</v>
      </c>
      <c r="G7" s="58">
        <v>0.22</v>
      </c>
      <c r="H7" s="53">
        <v>0.85099999999999998</v>
      </c>
      <c r="I7" s="16">
        <v>95</v>
      </c>
      <c r="J7" s="16">
        <v>95.5</v>
      </c>
      <c r="K7" s="18">
        <v>82</v>
      </c>
      <c r="L7" s="25">
        <f t="shared" ref="L7:L12" si="1">AVERAGE(0)</f>
        <v>0</v>
      </c>
      <c r="M7" s="36" t="s">
        <v>16</v>
      </c>
      <c r="N7" s="25">
        <f t="shared" ref="N7" si="2">AVERAGE(0)</f>
        <v>0</v>
      </c>
      <c r="O7" s="36" t="s">
        <v>16</v>
      </c>
      <c r="P7" s="25" t="s">
        <v>16</v>
      </c>
      <c r="Q7" s="16" t="s">
        <v>16</v>
      </c>
      <c r="R7" s="31" t="s">
        <v>16</v>
      </c>
      <c r="S7" s="25">
        <v>1784</v>
      </c>
      <c r="T7" s="16" t="s">
        <v>1001</v>
      </c>
      <c r="U7" s="31" t="s">
        <v>33</v>
      </c>
    </row>
    <row r="8" spans="1:21" ht="12.6" customHeight="1">
      <c r="A8" s="143" t="s">
        <v>34</v>
      </c>
      <c r="B8" s="11" t="s">
        <v>840</v>
      </c>
      <c r="C8" s="16">
        <v>35</v>
      </c>
      <c r="D8" s="18">
        <v>2</v>
      </c>
      <c r="E8" s="16">
        <f t="shared" ref="E8" si="3">1.6*C8</f>
        <v>56</v>
      </c>
      <c r="F8" s="119" t="s">
        <v>676</v>
      </c>
      <c r="G8" s="58">
        <v>0.3</v>
      </c>
      <c r="H8" s="53">
        <v>0.70199999999999996</v>
      </c>
      <c r="I8" s="16">
        <v>83</v>
      </c>
      <c r="J8" s="16">
        <v>77</v>
      </c>
      <c r="K8" s="18">
        <v>58</v>
      </c>
      <c r="L8" s="25">
        <f>AVERAGE(891)</f>
        <v>891</v>
      </c>
      <c r="M8" s="36" t="s">
        <v>1092</v>
      </c>
      <c r="N8" s="67">
        <f>AVERAGE(1117,962)</f>
        <v>1039.5</v>
      </c>
      <c r="O8" s="36" t="s">
        <v>863</v>
      </c>
      <c r="P8" s="25" t="s">
        <v>16</v>
      </c>
      <c r="Q8" s="16" t="s">
        <v>16</v>
      </c>
      <c r="R8" s="31" t="s">
        <v>16</v>
      </c>
      <c r="S8" s="25">
        <v>1000</v>
      </c>
      <c r="T8" s="16" t="s">
        <v>1001</v>
      </c>
      <c r="U8" s="31" t="s">
        <v>33</v>
      </c>
    </row>
    <row r="9" spans="1:21" ht="12.6" customHeight="1">
      <c r="A9" s="143" t="s">
        <v>34</v>
      </c>
      <c r="B9" s="11" t="s">
        <v>956</v>
      </c>
      <c r="C9" s="16">
        <v>50</v>
      </c>
      <c r="D9" s="18">
        <v>1.4</v>
      </c>
      <c r="E9" s="16">
        <f>1.6*C9</f>
        <v>80</v>
      </c>
      <c r="F9" s="119" t="s">
        <v>676</v>
      </c>
      <c r="G9" s="58">
        <v>0.45</v>
      </c>
      <c r="H9" s="53">
        <v>0.92200000000000004</v>
      </c>
      <c r="I9" s="16">
        <v>97.5</v>
      </c>
      <c r="J9" s="16">
        <v>82.5</v>
      </c>
      <c r="K9" s="18">
        <v>67</v>
      </c>
      <c r="L9" s="25">
        <f t="shared" si="1"/>
        <v>0</v>
      </c>
      <c r="M9" s="36" t="s">
        <v>16</v>
      </c>
      <c r="N9" s="67">
        <f>AVERAGE(1149,1279,1200)</f>
        <v>1209.3333333333333</v>
      </c>
      <c r="O9" s="36" t="s">
        <v>1092</v>
      </c>
      <c r="P9" s="25" t="s">
        <v>16</v>
      </c>
      <c r="Q9" s="16" t="s">
        <v>16</v>
      </c>
      <c r="R9" s="31" t="s">
        <v>16</v>
      </c>
      <c r="S9" s="67">
        <v>1200</v>
      </c>
      <c r="T9" s="16" t="s">
        <v>847</v>
      </c>
      <c r="U9" s="31" t="s">
        <v>32</v>
      </c>
    </row>
    <row r="10" spans="1:21" ht="12.6" customHeight="1">
      <c r="A10" s="143" t="s">
        <v>34</v>
      </c>
      <c r="B10" s="11" t="s">
        <v>957</v>
      </c>
      <c r="C10" s="16">
        <v>50</v>
      </c>
      <c r="D10" s="18">
        <v>2</v>
      </c>
      <c r="E10" s="16">
        <f>1.6*C10</f>
        <v>80</v>
      </c>
      <c r="F10" s="119" t="s">
        <v>676</v>
      </c>
      <c r="G10" s="58">
        <v>0.24</v>
      </c>
      <c r="H10" s="53">
        <v>0.73</v>
      </c>
      <c r="I10" s="16">
        <v>75</v>
      </c>
      <c r="J10" s="16">
        <v>81</v>
      </c>
      <c r="K10" s="18">
        <v>67</v>
      </c>
      <c r="L10" s="25">
        <f t="shared" si="1"/>
        <v>0</v>
      </c>
      <c r="M10" s="36" t="s">
        <v>16</v>
      </c>
      <c r="N10" s="67">
        <f>AVERAGE(1283,1283,1297)</f>
        <v>1287.6666666666667</v>
      </c>
      <c r="O10" s="36" t="s">
        <v>1008</v>
      </c>
      <c r="P10" s="25" t="s">
        <v>16</v>
      </c>
      <c r="Q10" s="16" t="s">
        <v>16</v>
      </c>
      <c r="R10" s="31" t="s">
        <v>16</v>
      </c>
      <c r="S10" s="67">
        <v>1283</v>
      </c>
      <c r="T10" s="16" t="s">
        <v>847</v>
      </c>
      <c r="U10" s="31" t="s">
        <v>32</v>
      </c>
    </row>
    <row r="11" spans="1:21" ht="12.6" customHeight="1">
      <c r="A11" s="143" t="s">
        <v>34</v>
      </c>
      <c r="B11" s="11" t="s">
        <v>841</v>
      </c>
      <c r="C11" s="16">
        <v>85</v>
      </c>
      <c r="D11" s="18">
        <v>1.4</v>
      </c>
      <c r="E11" s="16">
        <f>1.6*C11</f>
        <v>136</v>
      </c>
      <c r="F11" s="119" t="s">
        <v>676</v>
      </c>
      <c r="G11" s="58">
        <v>0.8</v>
      </c>
      <c r="H11" s="53">
        <v>1.28</v>
      </c>
      <c r="I11" s="16">
        <v>113</v>
      </c>
      <c r="J11" s="16">
        <v>90</v>
      </c>
      <c r="K11" s="18">
        <v>77</v>
      </c>
      <c r="L11" s="25">
        <f t="shared" si="1"/>
        <v>0</v>
      </c>
      <c r="M11" s="36" t="s">
        <v>16</v>
      </c>
      <c r="N11" s="67">
        <f>AVERAGE(1799,1749,1784)</f>
        <v>1777.3333333333333</v>
      </c>
      <c r="O11" s="36" t="s">
        <v>881</v>
      </c>
      <c r="P11" s="25" t="s">
        <v>16</v>
      </c>
      <c r="Q11" s="16" t="s">
        <v>16</v>
      </c>
      <c r="R11" s="31" t="s">
        <v>16</v>
      </c>
      <c r="S11" s="67">
        <v>1800</v>
      </c>
      <c r="T11" s="16" t="s">
        <v>847</v>
      </c>
      <c r="U11" s="31" t="s">
        <v>32</v>
      </c>
    </row>
    <row r="12" spans="1:21" ht="12.6" customHeight="1">
      <c r="A12" s="143" t="s">
        <v>34</v>
      </c>
      <c r="B12" s="11" t="s">
        <v>842</v>
      </c>
      <c r="C12" s="16">
        <v>100</v>
      </c>
      <c r="D12" s="18">
        <v>2</v>
      </c>
      <c r="E12" s="16">
        <f t="shared" ref="E12" si="4">1.6*C12</f>
        <v>160</v>
      </c>
      <c r="F12" s="119" t="s">
        <v>676</v>
      </c>
      <c r="G12" s="58">
        <v>0.44</v>
      </c>
      <c r="H12" s="53">
        <v>0.84299999999999997</v>
      </c>
      <c r="I12" s="16">
        <v>104</v>
      </c>
      <c r="J12" s="16">
        <v>80.5</v>
      </c>
      <c r="K12" s="18">
        <v>67</v>
      </c>
      <c r="L12" s="25">
        <f t="shared" si="1"/>
        <v>0</v>
      </c>
      <c r="M12" s="36" t="s">
        <v>16</v>
      </c>
      <c r="N12" s="67">
        <v>1447</v>
      </c>
      <c r="O12" s="36" t="s">
        <v>999</v>
      </c>
      <c r="P12" s="25" t="s">
        <v>16</v>
      </c>
      <c r="Q12" s="16" t="s">
        <v>16</v>
      </c>
      <c r="R12" s="31" t="s">
        <v>16</v>
      </c>
      <c r="S12" s="67">
        <v>1843</v>
      </c>
      <c r="T12" s="16" t="s">
        <v>847</v>
      </c>
      <c r="U12" s="31" t="s">
        <v>32</v>
      </c>
    </row>
    <row r="13" spans="1:21" s="37" customFormat="1" ht="12.6" customHeight="1">
      <c r="A13" s="121" t="s">
        <v>839</v>
      </c>
      <c r="B13" s="68"/>
      <c r="C13" s="28"/>
      <c r="D13" s="69"/>
      <c r="E13" s="28"/>
      <c r="F13" s="72"/>
      <c r="G13" s="70" t="s">
        <v>16</v>
      </c>
      <c r="H13" s="71" t="s">
        <v>16</v>
      </c>
      <c r="I13" s="28" t="s">
        <v>16</v>
      </c>
      <c r="J13" s="28" t="s">
        <v>16</v>
      </c>
      <c r="K13" s="28" t="s">
        <v>16</v>
      </c>
      <c r="L13" s="28" t="s">
        <v>16</v>
      </c>
      <c r="M13" s="28" t="s">
        <v>16</v>
      </c>
      <c r="N13" s="28" t="s">
        <v>16</v>
      </c>
      <c r="O13" s="28" t="s">
        <v>16</v>
      </c>
      <c r="P13" s="28" t="s">
        <v>16</v>
      </c>
      <c r="Q13" s="28" t="s">
        <v>16</v>
      </c>
      <c r="R13" s="28" t="s">
        <v>16</v>
      </c>
      <c r="S13" s="28" t="s">
        <v>16</v>
      </c>
      <c r="T13" s="28" t="s">
        <v>16</v>
      </c>
      <c r="U13" s="28" t="s">
        <v>16</v>
      </c>
    </row>
    <row r="14" spans="1:21" ht="12.6" customHeight="1">
      <c r="A14" s="143" t="s">
        <v>34</v>
      </c>
      <c r="B14" s="11" t="s">
        <v>848</v>
      </c>
      <c r="C14" s="16">
        <v>28</v>
      </c>
      <c r="D14" s="18">
        <v>1.4</v>
      </c>
      <c r="E14" s="16">
        <f t="shared" ref="E14" si="5">1.6*C14</f>
        <v>44.800000000000004</v>
      </c>
      <c r="F14" s="119" t="s">
        <v>676</v>
      </c>
      <c r="G14" s="58">
        <v>0.3</v>
      </c>
      <c r="H14" s="53">
        <v>1.39</v>
      </c>
      <c r="I14" s="16">
        <v>137</v>
      </c>
      <c r="J14" s="16">
        <v>108.9</v>
      </c>
      <c r="K14" s="18">
        <v>95</v>
      </c>
      <c r="L14" s="25">
        <f>AVERAGE(2850)</f>
        <v>2850</v>
      </c>
      <c r="M14" s="16" t="s">
        <v>1092</v>
      </c>
      <c r="N14" s="67">
        <f>AVERAGE(3952,3952,4169)</f>
        <v>4024.3333333333335</v>
      </c>
      <c r="O14" s="36" t="s">
        <v>1092</v>
      </c>
      <c r="P14" s="25" t="s">
        <v>16</v>
      </c>
      <c r="Q14" s="16" t="s">
        <v>16</v>
      </c>
      <c r="R14" s="31" t="s">
        <v>16</v>
      </c>
      <c r="S14" s="25" t="s">
        <v>16</v>
      </c>
      <c r="T14" s="16" t="s">
        <v>16</v>
      </c>
      <c r="U14" s="31" t="s">
        <v>16</v>
      </c>
    </row>
    <row r="15" spans="1:21" ht="12.6" customHeight="1">
      <c r="A15" s="143" t="s">
        <v>34</v>
      </c>
      <c r="B15" s="11" t="s">
        <v>732</v>
      </c>
      <c r="C15" s="16">
        <v>55</v>
      </c>
      <c r="D15" s="18">
        <v>1.4</v>
      </c>
      <c r="E15" s="16">
        <f t="shared" ref="E15" si="6">1.6*C15</f>
        <v>88</v>
      </c>
      <c r="F15" s="119" t="s">
        <v>676</v>
      </c>
      <c r="G15" s="58">
        <v>0.5</v>
      </c>
      <c r="H15" s="53">
        <v>1.03</v>
      </c>
      <c r="I15" s="16">
        <v>127.3</v>
      </c>
      <c r="J15" s="16">
        <v>92.4</v>
      </c>
      <c r="K15" s="18">
        <v>77</v>
      </c>
      <c r="L15" s="25">
        <f>AVERAGE(2500,2483,2501)</f>
        <v>2494.6666666666665</v>
      </c>
      <c r="M15" s="16" t="s">
        <v>1092</v>
      </c>
      <c r="N15" s="25">
        <f>AVERAGE(2850,3040,3062,3088,2900)</f>
        <v>2988</v>
      </c>
      <c r="O15" s="36" t="s">
        <v>1092</v>
      </c>
      <c r="P15" s="25">
        <v>3310</v>
      </c>
      <c r="Q15" s="16" t="s">
        <v>1001</v>
      </c>
      <c r="R15" s="31" t="s">
        <v>757</v>
      </c>
      <c r="S15" s="25">
        <v>3500</v>
      </c>
      <c r="T15" s="16" t="s">
        <v>821</v>
      </c>
      <c r="U15" s="31" t="s">
        <v>33</v>
      </c>
    </row>
    <row r="16" spans="1:21" ht="12.6" customHeight="1">
      <c r="A16" s="57" t="s">
        <v>34</v>
      </c>
      <c r="B16" s="11" t="s">
        <v>808</v>
      </c>
      <c r="C16" s="16">
        <v>85</v>
      </c>
      <c r="D16" s="18">
        <v>1.4</v>
      </c>
      <c r="E16" s="16">
        <f>1.6*C16</f>
        <v>136</v>
      </c>
      <c r="F16" s="119" t="s">
        <v>676</v>
      </c>
      <c r="G16" s="58">
        <v>0.8</v>
      </c>
      <c r="H16" s="53">
        <v>1.2</v>
      </c>
      <c r="I16" s="16">
        <v>124</v>
      </c>
      <c r="J16" s="16">
        <v>101</v>
      </c>
      <c r="K16" s="18">
        <v>86</v>
      </c>
      <c r="L16" s="25">
        <f>AVERAGE(3181,3204,3329)</f>
        <v>3238</v>
      </c>
      <c r="M16" s="36" t="s">
        <v>881</v>
      </c>
      <c r="N16" s="25">
        <f>AVERAGE(3500,3675,3500,3695,3306,3516,3541)</f>
        <v>3533.2857142857142</v>
      </c>
      <c r="O16" s="36" t="s">
        <v>1092</v>
      </c>
      <c r="P16" s="25" t="s">
        <v>16</v>
      </c>
      <c r="Q16" s="16" t="s">
        <v>16</v>
      </c>
      <c r="R16" s="31" t="s">
        <v>16</v>
      </c>
      <c r="S16" s="25">
        <v>3650</v>
      </c>
      <c r="T16" s="16" t="s">
        <v>881</v>
      </c>
      <c r="U16" s="31" t="s">
        <v>757</v>
      </c>
    </row>
    <row r="17" spans="1:21" s="37" customFormat="1" ht="12.6" customHeight="1">
      <c r="A17" s="121" t="s">
        <v>358</v>
      </c>
      <c r="B17" s="68"/>
      <c r="C17" s="28"/>
      <c r="D17" s="69"/>
      <c r="E17" s="28"/>
      <c r="F17" s="72"/>
      <c r="G17" s="70" t="s">
        <v>16</v>
      </c>
      <c r="H17" s="71" t="s">
        <v>16</v>
      </c>
      <c r="I17" s="28" t="s">
        <v>16</v>
      </c>
      <c r="J17" s="28" t="s">
        <v>16</v>
      </c>
      <c r="K17" s="28" t="s">
        <v>16</v>
      </c>
      <c r="L17" s="28" t="s">
        <v>16</v>
      </c>
      <c r="M17" s="28" t="s">
        <v>16</v>
      </c>
      <c r="N17" s="28" t="s">
        <v>16</v>
      </c>
      <c r="O17" s="28" t="s">
        <v>16</v>
      </c>
      <c r="P17" s="28" t="s">
        <v>16</v>
      </c>
      <c r="Q17" s="28" t="s">
        <v>16</v>
      </c>
      <c r="R17" s="28" t="s">
        <v>16</v>
      </c>
      <c r="S17" s="28" t="s">
        <v>16</v>
      </c>
      <c r="T17" s="28" t="s">
        <v>16</v>
      </c>
      <c r="U17" s="28" t="s">
        <v>16</v>
      </c>
    </row>
    <row r="18" spans="1:21" ht="12.6" customHeight="1">
      <c r="A18" s="213" t="s">
        <v>34</v>
      </c>
      <c r="B18" s="182" t="s">
        <v>794</v>
      </c>
      <c r="C18" s="141">
        <v>15</v>
      </c>
      <c r="D18" s="142">
        <v>2.8</v>
      </c>
      <c r="E18" s="141">
        <f t="shared" ref="E18" si="7">1.6*C18</f>
        <v>24</v>
      </c>
      <c r="F18" s="293" t="s">
        <v>676</v>
      </c>
      <c r="G18" s="215">
        <v>0.25</v>
      </c>
      <c r="H18" s="216">
        <v>0.82</v>
      </c>
      <c r="I18" s="141">
        <v>116</v>
      </c>
      <c r="J18" s="141">
        <v>103</v>
      </c>
      <c r="K18" s="142">
        <v>95</v>
      </c>
      <c r="L18" s="203">
        <f>AVERAGE(1724,1989,1878,1705,1999,2198)</f>
        <v>1915.5</v>
      </c>
      <c r="M18" s="141" t="s">
        <v>1092</v>
      </c>
      <c r="N18" s="203">
        <f>AVERAGE(2376,2500,2800,2600)</f>
        <v>2569</v>
      </c>
      <c r="O18" s="160" t="s">
        <v>810</v>
      </c>
      <c r="P18" s="203">
        <v>1750</v>
      </c>
      <c r="Q18" s="141" t="s">
        <v>1001</v>
      </c>
      <c r="R18" s="186" t="s">
        <v>757</v>
      </c>
      <c r="S18" s="281">
        <f>3305*CA.US</f>
        <v>2511.8000000000002</v>
      </c>
      <c r="T18" s="141" t="s">
        <v>821</v>
      </c>
      <c r="U18" s="186" t="s">
        <v>361</v>
      </c>
    </row>
    <row r="19" spans="1:21" ht="12.6" customHeight="1">
      <c r="A19" s="213" t="s">
        <v>34</v>
      </c>
      <c r="B19" s="182" t="s">
        <v>343</v>
      </c>
      <c r="C19" s="141">
        <v>18</v>
      </c>
      <c r="D19" s="142">
        <v>3.5</v>
      </c>
      <c r="E19" s="141">
        <f t="shared" ref="E19:E29" si="8">1.6*C19</f>
        <v>28.8</v>
      </c>
      <c r="F19" s="293" t="s">
        <v>676</v>
      </c>
      <c r="G19" s="215">
        <v>0.3</v>
      </c>
      <c r="H19" s="216">
        <v>0.51</v>
      </c>
      <c r="I19" s="141">
        <v>61</v>
      </c>
      <c r="J19" s="141">
        <v>87</v>
      </c>
      <c r="K19" s="142">
        <v>82</v>
      </c>
      <c r="L19" s="203">
        <f>AVERAGE(720,840,799,750,797,710,810,860,825,850,777)</f>
        <v>794.36363636363637</v>
      </c>
      <c r="M19" s="160" t="s">
        <v>1092</v>
      </c>
      <c r="N19" s="203">
        <f>AVERAGE(900,1053,1283,1000,1100,1052,1097,1200,1050,1088,1000)</f>
        <v>1074.8181818181818</v>
      </c>
      <c r="O19" s="160" t="s">
        <v>881</v>
      </c>
      <c r="P19" s="203">
        <v>790</v>
      </c>
      <c r="Q19" s="141" t="s">
        <v>1001</v>
      </c>
      <c r="R19" s="186" t="s">
        <v>757</v>
      </c>
      <c r="S19" s="203">
        <v>1000</v>
      </c>
      <c r="T19" s="141" t="s">
        <v>881</v>
      </c>
      <c r="U19" s="186" t="s">
        <v>32</v>
      </c>
    </row>
    <row r="20" spans="1:21" ht="12.6" customHeight="1">
      <c r="A20" s="213" t="s">
        <v>34</v>
      </c>
      <c r="B20" s="182" t="s">
        <v>268</v>
      </c>
      <c r="C20" s="141">
        <v>21</v>
      </c>
      <c r="D20" s="142">
        <v>2.8</v>
      </c>
      <c r="E20" s="141">
        <f t="shared" si="8"/>
        <v>33.6</v>
      </c>
      <c r="F20" s="293" t="s">
        <v>676</v>
      </c>
      <c r="G20" s="215">
        <v>0.22</v>
      </c>
      <c r="H20" s="216">
        <v>0.72</v>
      </c>
      <c r="I20" s="141">
        <v>87</v>
      </c>
      <c r="J20" s="141">
        <v>87</v>
      </c>
      <c r="K20" s="142">
        <v>82</v>
      </c>
      <c r="L20" s="203">
        <f>AVERAGE(835,926,940,792,835,940,1050,780,838)</f>
        <v>881.77777777777783</v>
      </c>
      <c r="M20" s="160" t="s">
        <v>1092</v>
      </c>
      <c r="N20" s="203">
        <f>AVERAGE(1480,1075,1311,1567,1499,1397,1327,1400,1499)</f>
        <v>1395</v>
      </c>
      <c r="O20" s="160" t="s">
        <v>1092</v>
      </c>
      <c r="P20" s="203">
        <v>1150</v>
      </c>
      <c r="Q20" s="141" t="s">
        <v>1001</v>
      </c>
      <c r="R20" s="186" t="s">
        <v>757</v>
      </c>
      <c r="S20" s="203">
        <v>1125</v>
      </c>
      <c r="T20" s="141" t="s">
        <v>881</v>
      </c>
      <c r="U20" s="186" t="s">
        <v>29</v>
      </c>
    </row>
    <row r="21" spans="1:21" ht="12.6" customHeight="1">
      <c r="A21" s="213" t="s">
        <v>34</v>
      </c>
      <c r="B21" s="182" t="s">
        <v>509</v>
      </c>
      <c r="C21" s="141">
        <v>25</v>
      </c>
      <c r="D21" s="142">
        <v>2</v>
      </c>
      <c r="E21" s="141">
        <f>1.6*C21</f>
        <v>40</v>
      </c>
      <c r="F21" s="293" t="s">
        <v>676</v>
      </c>
      <c r="G21" s="215">
        <v>0.25</v>
      </c>
      <c r="H21" s="216">
        <v>0.6</v>
      </c>
      <c r="I21" s="141">
        <v>74</v>
      </c>
      <c r="J21" s="141">
        <v>73</v>
      </c>
      <c r="K21" s="142">
        <v>67</v>
      </c>
      <c r="L21" s="203">
        <f>AVERAGE(811,836,868,836,863,880,900,1000,950,760,920)</f>
        <v>874.90909090909088</v>
      </c>
      <c r="M21" s="160" t="s">
        <v>1092</v>
      </c>
      <c r="N21" s="203">
        <f>AVERAGE(1099,1025,975,1250,1299)</f>
        <v>1129.5999999999999</v>
      </c>
      <c r="O21" s="160" t="s">
        <v>1092</v>
      </c>
      <c r="P21" s="203">
        <v>875</v>
      </c>
      <c r="Q21" s="141" t="s">
        <v>1001</v>
      </c>
      <c r="R21" s="186" t="s">
        <v>757</v>
      </c>
      <c r="S21" s="203">
        <v>1250</v>
      </c>
      <c r="T21" s="141" t="s">
        <v>881</v>
      </c>
      <c r="U21" s="186" t="s">
        <v>32</v>
      </c>
    </row>
    <row r="22" spans="1:21" ht="12.6" customHeight="1">
      <c r="A22" s="213" t="s">
        <v>34</v>
      </c>
      <c r="B22" s="182" t="s">
        <v>372</v>
      </c>
      <c r="C22" s="141">
        <v>28</v>
      </c>
      <c r="D22" s="142">
        <v>2</v>
      </c>
      <c r="E22" s="141">
        <f t="shared" si="8"/>
        <v>44.800000000000004</v>
      </c>
      <c r="F22" s="293" t="s">
        <v>676</v>
      </c>
      <c r="G22" s="215">
        <v>0.24</v>
      </c>
      <c r="H22" s="216">
        <v>0.57999999999999996</v>
      </c>
      <c r="I22" s="141">
        <v>72</v>
      </c>
      <c r="J22" s="141">
        <v>64</v>
      </c>
      <c r="K22" s="142">
        <v>58</v>
      </c>
      <c r="L22" s="203">
        <f>AVERAGE(500,520,665,665,795,576)</f>
        <v>620.16666666666663</v>
      </c>
      <c r="M22" s="160" t="s">
        <v>1092</v>
      </c>
      <c r="N22" s="203">
        <f>AVERAGE(870,728,950,907,1128,950,917,887,850,1017,949,860)</f>
        <v>917.75</v>
      </c>
      <c r="O22" s="160" t="s">
        <v>1008</v>
      </c>
      <c r="P22" s="203">
        <v>770</v>
      </c>
      <c r="Q22" s="141" t="s">
        <v>1001</v>
      </c>
      <c r="R22" s="186" t="s">
        <v>757</v>
      </c>
      <c r="S22" s="203">
        <v>880</v>
      </c>
      <c r="T22" s="141" t="s">
        <v>1092</v>
      </c>
      <c r="U22" s="186" t="s">
        <v>30</v>
      </c>
    </row>
    <row r="23" spans="1:21" ht="12.6" customHeight="1">
      <c r="A23" s="213" t="s">
        <v>34</v>
      </c>
      <c r="B23" s="182" t="s">
        <v>496</v>
      </c>
      <c r="C23" s="141">
        <v>35</v>
      </c>
      <c r="D23" s="142">
        <v>1.4</v>
      </c>
      <c r="E23" s="141">
        <f>1.6*C23</f>
        <v>56</v>
      </c>
      <c r="F23" s="293" t="s">
        <v>676</v>
      </c>
      <c r="G23" s="215">
        <v>0.3</v>
      </c>
      <c r="H23" s="216">
        <v>0.85</v>
      </c>
      <c r="I23" s="141">
        <v>98</v>
      </c>
      <c r="J23" s="141">
        <v>78</v>
      </c>
      <c r="K23" s="142">
        <v>72</v>
      </c>
      <c r="L23" s="203">
        <f>AVERAGE(1173,1173,1072,1218,975,1260,1274,1364,1350,1350,1249,1178)</f>
        <v>1219.6666666666667</v>
      </c>
      <c r="M23" s="160" t="s">
        <v>1092</v>
      </c>
      <c r="N23" s="203">
        <f>AVERAGE(1489,1430,1525,1400,1487,1668,1550)</f>
        <v>1507</v>
      </c>
      <c r="O23" s="160" t="s">
        <v>862</v>
      </c>
      <c r="P23" s="203">
        <v>1200</v>
      </c>
      <c r="Q23" s="141" t="s">
        <v>1001</v>
      </c>
      <c r="R23" s="186" t="s">
        <v>757</v>
      </c>
      <c r="S23" s="203">
        <v>1300</v>
      </c>
      <c r="T23" s="141" t="s">
        <v>881</v>
      </c>
      <c r="U23" s="186" t="s">
        <v>32</v>
      </c>
    </row>
    <row r="24" spans="1:21" ht="12.6" customHeight="1">
      <c r="A24" s="213" t="s">
        <v>34</v>
      </c>
      <c r="B24" s="182" t="s">
        <v>373</v>
      </c>
      <c r="C24" s="141">
        <v>35</v>
      </c>
      <c r="D24" s="142">
        <v>2</v>
      </c>
      <c r="E24" s="141">
        <f t="shared" si="8"/>
        <v>56</v>
      </c>
      <c r="F24" s="293" t="s">
        <v>676</v>
      </c>
      <c r="G24" s="215">
        <v>0.3</v>
      </c>
      <c r="H24" s="216">
        <v>0.56999999999999995</v>
      </c>
      <c r="I24" s="141">
        <v>75</v>
      </c>
      <c r="J24" s="141">
        <v>72.7</v>
      </c>
      <c r="K24" s="142">
        <v>58</v>
      </c>
      <c r="L24" s="203">
        <f>AVERAGE(600,650,624,695,575,535,638,625,715,512,699)</f>
        <v>624.36363636363637</v>
      </c>
      <c r="M24" s="160" t="s">
        <v>1092</v>
      </c>
      <c r="N24" s="203">
        <f>AVERAGE(800,708,700,880,791,760,850,751,878,810,789,897)</f>
        <v>801.16666666666663</v>
      </c>
      <c r="O24" s="160" t="s">
        <v>1092</v>
      </c>
      <c r="P24" s="203">
        <v>720</v>
      </c>
      <c r="Q24" s="141" t="s">
        <v>881</v>
      </c>
      <c r="R24" s="186" t="s">
        <v>32</v>
      </c>
      <c r="S24" s="203">
        <f>795*CA.US</f>
        <v>604.20000000000005</v>
      </c>
      <c r="T24" s="141" t="s">
        <v>1092</v>
      </c>
      <c r="U24" s="186" t="s">
        <v>1083</v>
      </c>
    </row>
    <row r="25" spans="1:21" ht="12.6" customHeight="1">
      <c r="A25" s="213" t="s">
        <v>34</v>
      </c>
      <c r="B25" s="182" t="s">
        <v>269</v>
      </c>
      <c r="C25" s="141">
        <v>50</v>
      </c>
      <c r="D25" s="142">
        <v>1.4</v>
      </c>
      <c r="E25" s="141">
        <f>1.6*C25</f>
        <v>80</v>
      </c>
      <c r="F25" s="293" t="s">
        <v>676</v>
      </c>
      <c r="G25" s="215">
        <v>0.45</v>
      </c>
      <c r="H25" s="216">
        <v>0.38</v>
      </c>
      <c r="I25" s="141">
        <v>48</v>
      </c>
      <c r="J25" s="141">
        <v>71.3</v>
      </c>
      <c r="K25" s="142">
        <v>58</v>
      </c>
      <c r="L25" s="203">
        <f>AVERAGE(395,400,386,475,355,400,389,420,338,391,400)</f>
        <v>395.36363636363637</v>
      </c>
      <c r="M25" s="160" t="s">
        <v>1092</v>
      </c>
      <c r="N25" s="203">
        <f>AVERAGE(518,544,468,478,468,499,550,525,548,548)</f>
        <v>514.6</v>
      </c>
      <c r="O25" s="160" t="s">
        <v>1092</v>
      </c>
      <c r="P25" s="203">
        <v>500</v>
      </c>
      <c r="Q25" s="141" t="s">
        <v>881</v>
      </c>
      <c r="R25" s="186" t="s">
        <v>32</v>
      </c>
      <c r="S25" s="203">
        <v>395</v>
      </c>
      <c r="T25" s="141" t="s">
        <v>881</v>
      </c>
      <c r="U25" s="186" t="s">
        <v>28</v>
      </c>
    </row>
    <row r="26" spans="1:21" ht="12.6" customHeight="1">
      <c r="A26" s="213" t="s">
        <v>34</v>
      </c>
      <c r="B26" s="182" t="s">
        <v>495</v>
      </c>
      <c r="C26" s="141">
        <v>50</v>
      </c>
      <c r="D26" s="142">
        <v>2</v>
      </c>
      <c r="E26" s="141">
        <f>1.6*C26</f>
        <v>80</v>
      </c>
      <c r="F26" s="293" t="s">
        <v>676</v>
      </c>
      <c r="G26" s="215">
        <v>0.24</v>
      </c>
      <c r="H26" s="216">
        <v>0.56999999999999995</v>
      </c>
      <c r="I26" s="141">
        <v>67</v>
      </c>
      <c r="J26" s="141">
        <v>75.400000000000006</v>
      </c>
      <c r="K26" s="142">
        <v>67</v>
      </c>
      <c r="L26" s="203">
        <f>AVERAGE(575,725,610,696,650,642,770,750,700)</f>
        <v>679.77777777777783</v>
      </c>
      <c r="M26" s="160" t="s">
        <v>1092</v>
      </c>
      <c r="N26" s="203">
        <f>AVERAGE(810,899,900,795,760,1060,899,966)</f>
        <v>886.125</v>
      </c>
      <c r="O26" s="160" t="s">
        <v>1001</v>
      </c>
      <c r="P26" s="203">
        <v>600</v>
      </c>
      <c r="Q26" s="141" t="s">
        <v>1092</v>
      </c>
      <c r="R26" s="186" t="s">
        <v>30</v>
      </c>
      <c r="S26" s="203">
        <v>792</v>
      </c>
      <c r="T26" s="141" t="s">
        <v>1092</v>
      </c>
      <c r="U26" s="186" t="s">
        <v>30</v>
      </c>
    </row>
    <row r="27" spans="1:21" ht="12.6" customHeight="1">
      <c r="A27" s="213" t="s">
        <v>34</v>
      </c>
      <c r="B27" s="213" t="s">
        <v>267</v>
      </c>
      <c r="C27" s="141">
        <v>85</v>
      </c>
      <c r="D27" s="142">
        <v>1.4</v>
      </c>
      <c r="E27" s="141">
        <f>1.6*C27</f>
        <v>136</v>
      </c>
      <c r="F27" s="202" t="s">
        <v>676</v>
      </c>
      <c r="G27" s="215">
        <v>1</v>
      </c>
      <c r="H27" s="216">
        <v>0.67</v>
      </c>
      <c r="I27" s="141">
        <v>65</v>
      </c>
      <c r="J27" s="141">
        <v>78</v>
      </c>
      <c r="K27" s="141">
        <v>72</v>
      </c>
      <c r="L27" s="203">
        <f>AVERAGE(605,599,680,600,740,689,630,667,699,699,660,636)</f>
        <v>658.66666666666663</v>
      </c>
      <c r="M27" s="186" t="s">
        <v>1092</v>
      </c>
      <c r="N27" s="141">
        <f>AVERAGE(859,789,819,768,875,895,860,810,1172,910)</f>
        <v>875.7</v>
      </c>
      <c r="O27" s="141" t="s">
        <v>1092</v>
      </c>
      <c r="P27" s="203">
        <v>720</v>
      </c>
      <c r="Q27" s="141" t="s">
        <v>881</v>
      </c>
      <c r="R27" s="186" t="s">
        <v>757</v>
      </c>
      <c r="S27" s="203">
        <f>1475*CA.US</f>
        <v>1121</v>
      </c>
      <c r="T27" s="141" t="s">
        <v>821</v>
      </c>
      <c r="U27" s="186" t="s">
        <v>361</v>
      </c>
    </row>
    <row r="28" spans="1:21" ht="12.6" customHeight="1">
      <c r="A28" s="213" t="s">
        <v>34</v>
      </c>
      <c r="B28" s="182" t="s">
        <v>505</v>
      </c>
      <c r="C28" s="141">
        <v>100</v>
      </c>
      <c r="D28" s="142">
        <v>2</v>
      </c>
      <c r="E28" s="141">
        <f t="shared" ref="E28" si="9">1.6*C28</f>
        <v>160</v>
      </c>
      <c r="F28" s="293" t="s">
        <v>676</v>
      </c>
      <c r="G28" s="215">
        <v>0.44</v>
      </c>
      <c r="H28" s="216">
        <v>0.68</v>
      </c>
      <c r="I28" s="141">
        <v>91</v>
      </c>
      <c r="J28" s="141">
        <v>76</v>
      </c>
      <c r="K28" s="142">
        <v>67</v>
      </c>
      <c r="L28" s="203">
        <f>AVERAGE(876,1000,877,999,1075,1075,1134,961,885,1122,1150,1050,1295)</f>
        <v>1038.3846153846155</v>
      </c>
      <c r="M28" s="160" t="s">
        <v>1092</v>
      </c>
      <c r="N28" s="203">
        <f>AVERAGE(1263,1299,1169,1229,1474,1400,1389,1325)</f>
        <v>1318.5</v>
      </c>
      <c r="O28" s="160" t="s">
        <v>1092</v>
      </c>
      <c r="P28" s="203">
        <v>1260</v>
      </c>
      <c r="Q28" s="141" t="s">
        <v>1092</v>
      </c>
      <c r="R28" s="186" t="s">
        <v>30</v>
      </c>
      <c r="S28" s="203">
        <v>1300</v>
      </c>
      <c r="T28" s="141" t="s">
        <v>1008</v>
      </c>
      <c r="U28" s="186" t="s">
        <v>30</v>
      </c>
    </row>
    <row r="29" spans="1:21" s="37" customFormat="1" ht="12.6" customHeight="1">
      <c r="A29" s="205" t="s">
        <v>34</v>
      </c>
      <c r="B29" s="194" t="s">
        <v>570</v>
      </c>
      <c r="C29" s="172">
        <v>135</v>
      </c>
      <c r="D29" s="211">
        <v>2</v>
      </c>
      <c r="E29" s="172">
        <f t="shared" si="8"/>
        <v>216</v>
      </c>
      <c r="F29" s="293" t="s">
        <v>676</v>
      </c>
      <c r="G29" s="195">
        <v>0.8</v>
      </c>
      <c r="H29" s="176">
        <v>0.93</v>
      </c>
      <c r="I29" s="172">
        <v>108</v>
      </c>
      <c r="J29" s="172">
        <v>84</v>
      </c>
      <c r="K29" s="211">
        <v>77</v>
      </c>
      <c r="L29" s="203">
        <f>AVERAGE(1151,1122)</f>
        <v>1136.5</v>
      </c>
      <c r="M29" s="141" t="s">
        <v>1092</v>
      </c>
      <c r="N29" s="203">
        <f>AVERAGE(1600,1499)</f>
        <v>1549.5</v>
      </c>
      <c r="O29" s="160" t="s">
        <v>1008</v>
      </c>
      <c r="P29" s="197">
        <v>1600</v>
      </c>
      <c r="Q29" s="141" t="s">
        <v>1092</v>
      </c>
      <c r="R29" s="186" t="s">
        <v>30</v>
      </c>
      <c r="S29" s="197">
        <v>1672</v>
      </c>
      <c r="T29" s="141" t="s">
        <v>1092</v>
      </c>
      <c r="U29" s="186" t="s">
        <v>30</v>
      </c>
    </row>
    <row r="30" spans="1:21" s="37" customFormat="1" ht="12.6" customHeight="1">
      <c r="A30" s="243" t="s">
        <v>350</v>
      </c>
      <c r="B30" s="244"/>
      <c r="C30" s="179"/>
      <c r="D30" s="245"/>
      <c r="E30" s="179"/>
      <c r="F30" s="246"/>
      <c r="G30" s="247" t="s">
        <v>16</v>
      </c>
      <c r="H30" s="248" t="s">
        <v>16</v>
      </c>
      <c r="I30" s="179" t="s">
        <v>16</v>
      </c>
      <c r="J30" s="179" t="s">
        <v>16</v>
      </c>
      <c r="K30" s="179" t="s">
        <v>16</v>
      </c>
      <c r="L30" s="179" t="s">
        <v>16</v>
      </c>
      <c r="M30" s="179" t="s">
        <v>16</v>
      </c>
      <c r="N30" s="179" t="s">
        <v>16</v>
      </c>
      <c r="O30" s="179" t="s">
        <v>16</v>
      </c>
      <c r="P30" s="179" t="s">
        <v>16</v>
      </c>
      <c r="Q30" s="179" t="s">
        <v>16</v>
      </c>
      <c r="R30" s="179" t="s">
        <v>16</v>
      </c>
      <c r="S30" s="179" t="s">
        <v>16</v>
      </c>
      <c r="T30" s="179" t="s">
        <v>16</v>
      </c>
      <c r="U30" s="179" t="s">
        <v>16</v>
      </c>
    </row>
    <row r="31" spans="1:21" ht="12.6" customHeight="1">
      <c r="A31" s="213" t="s">
        <v>34</v>
      </c>
      <c r="B31" s="213" t="s">
        <v>1038</v>
      </c>
      <c r="C31" s="141">
        <v>15</v>
      </c>
      <c r="D31" s="142">
        <v>3.5</v>
      </c>
      <c r="E31" s="141">
        <f t="shared" ref="E31:E44" si="10">1.6*C31</f>
        <v>24</v>
      </c>
      <c r="F31" s="202" t="s">
        <v>168</v>
      </c>
      <c r="G31" s="215">
        <v>0.16</v>
      </c>
      <c r="H31" s="216">
        <v>0.875</v>
      </c>
      <c r="I31" s="141">
        <v>94</v>
      </c>
      <c r="J31" s="141">
        <v>83.5</v>
      </c>
      <c r="K31" s="141" t="s">
        <v>90</v>
      </c>
      <c r="L31" s="203">
        <f>AVERAGE(1575,1700)</f>
        <v>1637.5</v>
      </c>
      <c r="M31" s="186" t="s">
        <v>881</v>
      </c>
      <c r="N31" s="141">
        <f>AVERAGE(2000,3251)</f>
        <v>2625.5</v>
      </c>
      <c r="O31" s="141" t="s">
        <v>692</v>
      </c>
      <c r="P31" s="203">
        <v>1742</v>
      </c>
      <c r="Q31" s="160" t="s">
        <v>1092</v>
      </c>
      <c r="R31" s="186" t="s">
        <v>30</v>
      </c>
      <c r="S31" s="203">
        <v>3600</v>
      </c>
      <c r="T31" s="160" t="s">
        <v>807</v>
      </c>
      <c r="U31" s="186" t="s">
        <v>446</v>
      </c>
    </row>
    <row r="32" spans="1:21" ht="12.6" customHeight="1">
      <c r="A32" s="213" t="s">
        <v>34</v>
      </c>
      <c r="B32" s="213" t="s">
        <v>1039</v>
      </c>
      <c r="C32" s="141">
        <v>16</v>
      </c>
      <c r="D32" s="142">
        <v>2.8</v>
      </c>
      <c r="E32" s="141">
        <f t="shared" si="10"/>
        <v>25.6</v>
      </c>
      <c r="F32" s="202" t="s">
        <v>168</v>
      </c>
      <c r="G32" s="215">
        <v>0.3</v>
      </c>
      <c r="H32" s="216">
        <v>0.46</v>
      </c>
      <c r="I32" s="141">
        <v>61.5</v>
      </c>
      <c r="J32" s="141">
        <v>70</v>
      </c>
      <c r="K32" s="186" t="s">
        <v>90</v>
      </c>
      <c r="L32" s="141">
        <f>AVERAGE(599,608,650)</f>
        <v>619</v>
      </c>
      <c r="M32" s="186" t="s">
        <v>881</v>
      </c>
      <c r="N32" s="203">
        <f>AVERAGE(1081,1399,1200,1297,1280)</f>
        <v>1251.4000000000001</v>
      </c>
      <c r="O32" s="141" t="s">
        <v>863</v>
      </c>
      <c r="P32" s="203">
        <v>1300</v>
      </c>
      <c r="Q32" s="141" t="s">
        <v>1092</v>
      </c>
      <c r="R32" s="186" t="s">
        <v>30</v>
      </c>
      <c r="S32" s="203">
        <v>1550</v>
      </c>
      <c r="T32" s="141" t="s">
        <v>807</v>
      </c>
      <c r="U32" s="186" t="s">
        <v>446</v>
      </c>
    </row>
    <row r="33" spans="1:21" ht="12.6" customHeight="1">
      <c r="A33" s="213" t="s">
        <v>34</v>
      </c>
      <c r="B33" s="213" t="s">
        <v>1040</v>
      </c>
      <c r="C33" s="141">
        <v>18</v>
      </c>
      <c r="D33" s="142">
        <v>4</v>
      </c>
      <c r="E33" s="141">
        <f t="shared" si="10"/>
        <v>28.8</v>
      </c>
      <c r="F33" s="202" t="s">
        <v>168</v>
      </c>
      <c r="G33" s="215">
        <v>0.3</v>
      </c>
      <c r="H33" s="216">
        <v>0.35</v>
      </c>
      <c r="I33" s="141">
        <v>51.5</v>
      </c>
      <c r="J33" s="141">
        <v>70</v>
      </c>
      <c r="K33" s="141" t="s">
        <v>196</v>
      </c>
      <c r="L33" s="203">
        <f>AVERAGE(580,507,522,539,528,549,510,630,555,532,590)</f>
        <v>549.27272727272725</v>
      </c>
      <c r="M33" s="186" t="s">
        <v>1092</v>
      </c>
      <c r="N33" s="141">
        <f>AVERAGE(634,699,610,640,663,600,700,660,658)</f>
        <v>651.55555555555554</v>
      </c>
      <c r="O33" s="141" t="s">
        <v>1092</v>
      </c>
      <c r="P33" s="203">
        <v>800</v>
      </c>
      <c r="Q33" s="141" t="s">
        <v>813</v>
      </c>
      <c r="R33" s="186" t="s">
        <v>32</v>
      </c>
      <c r="S33" s="203">
        <v>1745</v>
      </c>
      <c r="T33" s="141" t="s">
        <v>881</v>
      </c>
      <c r="U33" s="186" t="s">
        <v>28</v>
      </c>
    </row>
    <row r="34" spans="1:21" ht="12.6" customHeight="1">
      <c r="A34" s="205" t="s">
        <v>34</v>
      </c>
      <c r="B34" s="205" t="s">
        <v>1041</v>
      </c>
      <c r="C34" s="172">
        <v>21</v>
      </c>
      <c r="D34" s="211">
        <v>2.8</v>
      </c>
      <c r="E34" s="172">
        <f t="shared" si="10"/>
        <v>33.6</v>
      </c>
      <c r="F34" s="207" t="s">
        <v>168</v>
      </c>
      <c r="G34" s="195">
        <v>0.22</v>
      </c>
      <c r="H34" s="176">
        <v>0.53</v>
      </c>
      <c r="I34" s="172">
        <v>90.5</v>
      </c>
      <c r="J34" s="172">
        <v>85</v>
      </c>
      <c r="K34" s="188">
        <v>82</v>
      </c>
      <c r="L34" s="197">
        <f>AVERAGE(1568,1538,1578,1318,1210,1399,1425,1400,1469)</f>
        <v>1433.8888888888889</v>
      </c>
      <c r="M34" s="172" t="s">
        <v>1092</v>
      </c>
      <c r="N34" s="197">
        <f>AVERAGE(11578,1598,699,1859,1650,1799,1600,1680,1678)</f>
        <v>2682.3333333333335</v>
      </c>
      <c r="O34" s="206" t="s">
        <v>1092</v>
      </c>
      <c r="P34" s="197">
        <v>1480</v>
      </c>
      <c r="Q34" s="172" t="s">
        <v>483</v>
      </c>
      <c r="R34" s="188" t="s">
        <v>30</v>
      </c>
      <c r="S34" s="197">
        <v>2100</v>
      </c>
      <c r="T34" s="172" t="s">
        <v>1092</v>
      </c>
      <c r="U34" s="188" t="s">
        <v>30</v>
      </c>
    </row>
    <row r="35" spans="1:21" ht="12.6" customHeight="1">
      <c r="A35" s="213" t="s">
        <v>34</v>
      </c>
      <c r="B35" s="213" t="s">
        <v>1042</v>
      </c>
      <c r="C35" s="141">
        <v>25</v>
      </c>
      <c r="D35" s="142">
        <v>2.8</v>
      </c>
      <c r="E35" s="141">
        <f t="shared" si="10"/>
        <v>40</v>
      </c>
      <c r="F35" s="202" t="s">
        <v>168</v>
      </c>
      <c r="G35" s="215">
        <v>0.25</v>
      </c>
      <c r="H35" s="216">
        <v>0.36</v>
      </c>
      <c r="I35" s="141">
        <v>56</v>
      </c>
      <c r="J35" s="141">
        <v>62.5</v>
      </c>
      <c r="K35" s="141">
        <v>55</v>
      </c>
      <c r="L35" s="203">
        <f>AVERAGE(275,280,299,300,283,381,364,309,347,378)</f>
        <v>321.60000000000002</v>
      </c>
      <c r="M35" s="186" t="s">
        <v>1092</v>
      </c>
      <c r="N35" s="141">
        <f>AVERAGE(410,400,403,419,399,458,381,420,499,442)</f>
        <v>423.1</v>
      </c>
      <c r="O35" s="141" t="s">
        <v>1092</v>
      </c>
      <c r="P35" s="203">
        <v>380</v>
      </c>
      <c r="Q35" s="141" t="s">
        <v>881</v>
      </c>
      <c r="R35" s="186" t="s">
        <v>32</v>
      </c>
      <c r="S35" s="203">
        <v>517</v>
      </c>
      <c r="T35" s="141" t="s">
        <v>862</v>
      </c>
      <c r="U35" s="186" t="s">
        <v>30</v>
      </c>
    </row>
    <row r="36" spans="1:21" ht="12.6" customHeight="1">
      <c r="A36" s="213" t="s">
        <v>34</v>
      </c>
      <c r="B36" s="213" t="s">
        <v>1043</v>
      </c>
      <c r="C36" s="141">
        <v>28</v>
      </c>
      <c r="D36" s="142">
        <v>2</v>
      </c>
      <c r="E36" s="141">
        <f t="shared" si="10"/>
        <v>44.800000000000004</v>
      </c>
      <c r="F36" s="202" t="s">
        <v>168</v>
      </c>
      <c r="G36" s="215">
        <v>0.24</v>
      </c>
      <c r="H36" s="216">
        <v>0.53</v>
      </c>
      <c r="I36" s="141">
        <v>76</v>
      </c>
      <c r="J36" s="141">
        <v>62.5</v>
      </c>
      <c r="K36" s="186">
        <v>55</v>
      </c>
      <c r="L36" s="203">
        <f>AVERAGE(938,699,689,813,729,789,859,899,928,765)</f>
        <v>810.8</v>
      </c>
      <c r="M36" s="186" t="s">
        <v>1092</v>
      </c>
      <c r="N36" s="141">
        <f>AVERAGE(1098,1014,1098,955,999,1580,998,1497,1116,1060,1130,1086,1000)</f>
        <v>1125.4615384615386</v>
      </c>
      <c r="O36" s="141" t="s">
        <v>1092</v>
      </c>
      <c r="P36" s="203">
        <v>850</v>
      </c>
      <c r="Q36" s="141" t="s">
        <v>1092</v>
      </c>
      <c r="R36" s="204" t="s">
        <v>30</v>
      </c>
      <c r="S36" s="220">
        <v>1120</v>
      </c>
      <c r="T36" s="141" t="s">
        <v>1092</v>
      </c>
      <c r="U36" s="204" t="s">
        <v>30</v>
      </c>
    </row>
    <row r="37" spans="1:21" ht="12.6" customHeight="1">
      <c r="A37" s="213" t="s">
        <v>34</v>
      </c>
      <c r="B37" s="213" t="s">
        <v>1044</v>
      </c>
      <c r="C37" s="141">
        <v>28</v>
      </c>
      <c r="D37" s="142">
        <v>2.8</v>
      </c>
      <c r="E37" s="141">
        <f t="shared" si="10"/>
        <v>44.800000000000004</v>
      </c>
      <c r="F37" s="202" t="s">
        <v>168</v>
      </c>
      <c r="G37" s="215">
        <v>0.25</v>
      </c>
      <c r="H37" s="216">
        <v>0.28000000000000003</v>
      </c>
      <c r="I37" s="141">
        <v>50</v>
      </c>
      <c r="J37" s="141">
        <v>63</v>
      </c>
      <c r="K37" s="186">
        <v>55</v>
      </c>
      <c r="L37" s="203">
        <f>AVERAGE(280,242,275,250,250,260,269,234,289,229,225)</f>
        <v>254.81818181818181</v>
      </c>
      <c r="M37" s="186" t="s">
        <v>1092</v>
      </c>
      <c r="N37" s="141">
        <f>AVERAGE(379,389,397,360,320,299,355,330,336)</f>
        <v>351.66666666666669</v>
      </c>
      <c r="O37" s="141" t="s">
        <v>1092</v>
      </c>
      <c r="P37" s="203">
        <v>350</v>
      </c>
      <c r="Q37" s="141" t="s">
        <v>1092</v>
      </c>
      <c r="R37" s="204" t="s">
        <v>30</v>
      </c>
      <c r="S37" s="220">
        <v>420</v>
      </c>
      <c r="T37" s="141" t="s">
        <v>1092</v>
      </c>
      <c r="U37" s="204" t="s">
        <v>30</v>
      </c>
    </row>
    <row r="38" spans="1:21" ht="12.6" customHeight="1">
      <c r="A38" s="213" t="s">
        <v>34</v>
      </c>
      <c r="B38" s="285" t="s">
        <v>1045</v>
      </c>
      <c r="C38" s="141">
        <v>35</v>
      </c>
      <c r="D38" s="142">
        <v>1.4</v>
      </c>
      <c r="E38" s="141">
        <f t="shared" si="10"/>
        <v>56</v>
      </c>
      <c r="F38" s="202" t="s">
        <v>168</v>
      </c>
      <c r="G38" s="215">
        <v>0.3</v>
      </c>
      <c r="H38" s="216">
        <v>0.6</v>
      </c>
      <c r="I38" s="141">
        <v>76</v>
      </c>
      <c r="J38" s="141">
        <v>70</v>
      </c>
      <c r="K38" s="141">
        <v>67</v>
      </c>
      <c r="L38" s="203">
        <f>AVERAGE(850,1050,828,998,794,812,999,940,1162,1041,1197,915)</f>
        <v>965.5</v>
      </c>
      <c r="M38" s="186" t="s">
        <v>1092</v>
      </c>
      <c r="N38" s="141">
        <f>AVERAGE(1220,1238,1148,1230,1170,1120,1249,1325,1199,1100,1220,1280)</f>
        <v>1208.25</v>
      </c>
      <c r="O38" s="141" t="s">
        <v>1092</v>
      </c>
      <c r="P38" s="203">
        <v>1675</v>
      </c>
      <c r="Q38" s="141" t="s">
        <v>1092</v>
      </c>
      <c r="R38" s="204" t="s">
        <v>30</v>
      </c>
      <c r="S38" s="220">
        <v>2184</v>
      </c>
      <c r="T38" s="141" t="s">
        <v>862</v>
      </c>
      <c r="U38" s="204" t="s">
        <v>30</v>
      </c>
    </row>
    <row r="39" spans="1:21" ht="12.6" customHeight="1">
      <c r="A39" s="213" t="s">
        <v>34</v>
      </c>
      <c r="B39" s="285" t="s">
        <v>1046</v>
      </c>
      <c r="C39" s="141">
        <v>35</v>
      </c>
      <c r="D39" s="142">
        <v>2.8</v>
      </c>
      <c r="E39" s="141">
        <f t="shared" si="10"/>
        <v>56</v>
      </c>
      <c r="F39" s="202" t="s">
        <v>168</v>
      </c>
      <c r="G39" s="215">
        <v>0.4</v>
      </c>
      <c r="H39" s="216">
        <v>0.24</v>
      </c>
      <c r="I39" s="141">
        <v>46</v>
      </c>
      <c r="J39" s="141">
        <v>62.5</v>
      </c>
      <c r="K39" s="186">
        <v>55</v>
      </c>
      <c r="L39" s="203">
        <f>AVERAGE(238,250,235,268,228,207,226,217,210,228,230)</f>
        <v>230.63636363636363</v>
      </c>
      <c r="M39" s="141" t="s">
        <v>1092</v>
      </c>
      <c r="N39" s="203">
        <f>AVERAGE(268,320,320,300,329,351,323,349,310)</f>
        <v>318.88888888888891</v>
      </c>
      <c r="O39" s="141" t="s">
        <v>1092</v>
      </c>
      <c r="P39" s="203">
        <v>350</v>
      </c>
      <c r="Q39" s="141" t="s">
        <v>1092</v>
      </c>
      <c r="R39" s="204" t="s">
        <v>30</v>
      </c>
      <c r="S39" s="220">
        <v>450</v>
      </c>
      <c r="T39" s="141" t="s">
        <v>881</v>
      </c>
      <c r="U39" s="204" t="s">
        <v>30</v>
      </c>
    </row>
    <row r="40" spans="1:21" ht="12.6" customHeight="1">
      <c r="A40" s="205" t="s">
        <v>34</v>
      </c>
      <c r="B40" s="205" t="s">
        <v>1047</v>
      </c>
      <c r="C40" s="172">
        <v>35</v>
      </c>
      <c r="D40" s="211">
        <v>2.8</v>
      </c>
      <c r="E40" s="172">
        <f t="shared" si="10"/>
        <v>56</v>
      </c>
      <c r="F40" s="207" t="s">
        <v>168</v>
      </c>
      <c r="G40" s="195">
        <v>0.3</v>
      </c>
      <c r="H40" s="176">
        <v>0.74</v>
      </c>
      <c r="I40" s="172">
        <v>85.6</v>
      </c>
      <c r="J40" s="172">
        <v>70</v>
      </c>
      <c r="K40" s="188" t="s">
        <v>195</v>
      </c>
      <c r="L40" s="197">
        <f>AVERAGE(941)</f>
        <v>941</v>
      </c>
      <c r="M40" s="172" t="s">
        <v>1092</v>
      </c>
      <c r="N40" s="197">
        <f>AVERAGE(1520,1565)</f>
        <v>1542.5</v>
      </c>
      <c r="O40" s="206" t="s">
        <v>1092</v>
      </c>
      <c r="P40" s="197">
        <v>1670</v>
      </c>
      <c r="Q40" s="172" t="s">
        <v>560</v>
      </c>
      <c r="R40" s="188" t="s">
        <v>30</v>
      </c>
      <c r="S40" s="197" t="s">
        <v>16</v>
      </c>
      <c r="T40" s="172" t="s">
        <v>16</v>
      </c>
      <c r="U40" s="188" t="s">
        <v>16</v>
      </c>
    </row>
    <row r="41" spans="1:21" ht="12.6" customHeight="1">
      <c r="A41" s="213" t="s">
        <v>34</v>
      </c>
      <c r="B41" s="285" t="s">
        <v>1048</v>
      </c>
      <c r="C41" s="141">
        <v>45</v>
      </c>
      <c r="D41" s="142">
        <v>2.8</v>
      </c>
      <c r="E41" s="141">
        <f t="shared" si="10"/>
        <v>72</v>
      </c>
      <c r="F41" s="202" t="s">
        <v>168</v>
      </c>
      <c r="G41" s="215">
        <v>0.6</v>
      </c>
      <c r="H41" s="216">
        <v>0.09</v>
      </c>
      <c r="I41" s="141">
        <v>18</v>
      </c>
      <c r="J41" s="141">
        <v>58</v>
      </c>
      <c r="K41" s="186">
        <v>49</v>
      </c>
      <c r="L41" s="203">
        <f>AVERAGE(184,181,170,199,179,199,179,160)</f>
        <v>181.375</v>
      </c>
      <c r="M41" s="141" t="s">
        <v>1092</v>
      </c>
      <c r="N41" s="203">
        <f>AVERAGE(210,239,200,210,245,249,230,229,272,249)</f>
        <v>233.3</v>
      </c>
      <c r="O41" s="141" t="s">
        <v>1092</v>
      </c>
      <c r="P41" s="203">
        <v>248</v>
      </c>
      <c r="Q41" s="141" t="s">
        <v>1092</v>
      </c>
      <c r="R41" s="204" t="s">
        <v>30</v>
      </c>
      <c r="S41" s="220">
        <v>290</v>
      </c>
      <c r="T41" s="141" t="s">
        <v>1092</v>
      </c>
      <c r="U41" s="204" t="s">
        <v>30</v>
      </c>
    </row>
    <row r="42" spans="1:21" ht="12.6" customHeight="1">
      <c r="A42" s="213" t="s">
        <v>34</v>
      </c>
      <c r="B42" s="182" t="s">
        <v>1049</v>
      </c>
      <c r="C42" s="141">
        <v>50</v>
      </c>
      <c r="D42" s="142">
        <v>1.4</v>
      </c>
      <c r="E42" s="141">
        <f t="shared" si="10"/>
        <v>80</v>
      </c>
      <c r="F42" s="293" t="s">
        <v>168</v>
      </c>
      <c r="G42" s="215">
        <v>0.45</v>
      </c>
      <c r="H42" s="216">
        <v>0.28999999999999998</v>
      </c>
      <c r="I42" s="141">
        <v>41</v>
      </c>
      <c r="J42" s="141">
        <v>62.5</v>
      </c>
      <c r="K42" s="142">
        <v>55</v>
      </c>
      <c r="L42" s="203">
        <f>AVERAGE(202,200,233,259,239,232,218,259,255,234)</f>
        <v>233.1</v>
      </c>
      <c r="M42" s="160" t="s">
        <v>1092</v>
      </c>
      <c r="N42" s="203">
        <f>AVERAGE(290,350,337,340,375,331,320,395,350)</f>
        <v>343.11111111111109</v>
      </c>
      <c r="O42" s="160" t="s">
        <v>1092</v>
      </c>
      <c r="P42" s="203">
        <v>328</v>
      </c>
      <c r="Q42" s="141" t="s">
        <v>1092</v>
      </c>
      <c r="R42" s="186" t="s">
        <v>30</v>
      </c>
      <c r="S42" s="203">
        <v>375</v>
      </c>
      <c r="T42" s="141" t="s">
        <v>862</v>
      </c>
      <c r="U42" s="186" t="s">
        <v>29</v>
      </c>
    </row>
    <row r="43" spans="1:21" ht="12.6" customHeight="1">
      <c r="A43" s="57" t="s">
        <v>34</v>
      </c>
      <c r="B43" s="43" t="s">
        <v>1050</v>
      </c>
      <c r="C43" s="16">
        <v>50</v>
      </c>
      <c r="D43" s="18">
        <v>1.7</v>
      </c>
      <c r="E43" s="16">
        <f t="shared" si="10"/>
        <v>80</v>
      </c>
      <c r="F43" s="85" t="s">
        <v>168</v>
      </c>
      <c r="G43" s="58">
        <v>0.6</v>
      </c>
      <c r="H43" s="53">
        <v>0.19</v>
      </c>
      <c r="I43" s="16">
        <v>36</v>
      </c>
      <c r="J43" s="16">
        <v>59</v>
      </c>
      <c r="K43" s="31">
        <v>55</v>
      </c>
      <c r="L43" s="25">
        <f>AVERAGE(119,136,130,133,139,155,133,136,149)</f>
        <v>136.66666666666666</v>
      </c>
      <c r="M43" s="16" t="s">
        <v>1092</v>
      </c>
      <c r="N43" s="25">
        <f>AVERAGE(180,192,210,205,195,200,192,165,212,219,200,208)</f>
        <v>198.16666666666666</v>
      </c>
      <c r="O43" s="16" t="s">
        <v>1092</v>
      </c>
      <c r="P43" s="25">
        <f>199*CA.US</f>
        <v>151.24</v>
      </c>
      <c r="Q43" s="16" t="s">
        <v>1001</v>
      </c>
      <c r="R43" s="39" t="s">
        <v>623</v>
      </c>
      <c r="S43" s="81">
        <v>250</v>
      </c>
      <c r="T43" s="16" t="s">
        <v>550</v>
      </c>
      <c r="U43" s="39" t="s">
        <v>32</v>
      </c>
    </row>
    <row r="44" spans="1:21" ht="12.6" customHeight="1">
      <c r="A44" s="144" t="s">
        <v>34</v>
      </c>
      <c r="B44" s="144" t="s">
        <v>1051</v>
      </c>
      <c r="C44" s="27">
        <v>55</v>
      </c>
      <c r="D44" s="41">
        <v>1.2</v>
      </c>
      <c r="E44" s="27">
        <f t="shared" si="10"/>
        <v>88</v>
      </c>
      <c r="F44" s="86" t="s">
        <v>168</v>
      </c>
      <c r="G44" s="55">
        <v>0.6</v>
      </c>
      <c r="H44" s="56">
        <v>0.5</v>
      </c>
      <c r="I44" s="27">
        <v>60</v>
      </c>
      <c r="J44" s="27">
        <v>80</v>
      </c>
      <c r="K44" s="33">
        <v>77</v>
      </c>
      <c r="L44" s="26">
        <f>AVERAGE(3951)</f>
        <v>3951</v>
      </c>
      <c r="M44" s="27" t="s">
        <v>1001</v>
      </c>
      <c r="N44" s="26">
        <f>AVERAGE(5129,7047)</f>
        <v>6088</v>
      </c>
      <c r="O44" s="27" t="s">
        <v>1001</v>
      </c>
      <c r="P44" s="26">
        <v>6902</v>
      </c>
      <c r="Q44" s="27" t="s">
        <v>765</v>
      </c>
      <c r="R44" s="33" t="s">
        <v>30</v>
      </c>
      <c r="S44" s="26">
        <v>9500</v>
      </c>
      <c r="T44" s="27" t="s">
        <v>807</v>
      </c>
      <c r="U44" s="33" t="s">
        <v>446</v>
      </c>
    </row>
    <row r="45" spans="1:21" ht="12.6" customHeight="1">
      <c r="A45" s="264" t="s">
        <v>34</v>
      </c>
      <c r="B45" s="265" t="s">
        <v>1052</v>
      </c>
      <c r="C45" s="16">
        <v>60</v>
      </c>
      <c r="D45" s="18">
        <v>2.8</v>
      </c>
      <c r="E45" s="16">
        <f t="shared" ref="E45:E65" si="11">1.6*C45</f>
        <v>96</v>
      </c>
      <c r="F45" s="85" t="s">
        <v>168</v>
      </c>
      <c r="G45" s="58">
        <v>0.27</v>
      </c>
      <c r="H45" s="53">
        <v>0.35</v>
      </c>
      <c r="I45" s="16">
        <v>60</v>
      </c>
      <c r="J45" s="16">
        <v>62.5</v>
      </c>
      <c r="K45" s="31">
        <v>55</v>
      </c>
      <c r="L45" s="25">
        <f>AVERAGE(450)</f>
        <v>450</v>
      </c>
      <c r="M45" s="16" t="s">
        <v>837</v>
      </c>
      <c r="N45" s="25">
        <f>AVERAGE(0)</f>
        <v>0</v>
      </c>
      <c r="O45" s="36" t="s">
        <v>16</v>
      </c>
      <c r="P45" s="25" t="s">
        <v>16</v>
      </c>
      <c r="Q45" s="16" t="s">
        <v>16</v>
      </c>
      <c r="R45" s="39" t="s">
        <v>16</v>
      </c>
      <c r="S45" s="81" t="s">
        <v>16</v>
      </c>
      <c r="T45" s="16" t="s">
        <v>16</v>
      </c>
      <c r="U45" s="39" t="s">
        <v>16</v>
      </c>
    </row>
    <row r="46" spans="1:21" ht="12.6" customHeight="1">
      <c r="A46" s="143" t="s">
        <v>34</v>
      </c>
      <c r="B46" s="43" t="s">
        <v>1053</v>
      </c>
      <c r="C46" s="16">
        <v>60</v>
      </c>
      <c r="D46" s="18">
        <v>2.8</v>
      </c>
      <c r="E46" s="16">
        <f t="shared" si="11"/>
        <v>96</v>
      </c>
      <c r="F46" s="85" t="s">
        <v>168</v>
      </c>
      <c r="G46" s="263">
        <v>0.27</v>
      </c>
      <c r="H46" s="53">
        <v>0.56999999999999995</v>
      </c>
      <c r="I46" s="16">
        <v>74</v>
      </c>
      <c r="J46" s="16">
        <v>75.5</v>
      </c>
      <c r="K46" s="31">
        <v>67</v>
      </c>
      <c r="L46" s="25">
        <f>AVERAGE(400,421,335,364,440)</f>
        <v>392</v>
      </c>
      <c r="M46" s="16" t="s">
        <v>1092</v>
      </c>
      <c r="N46" s="25">
        <f>AVERAGE(458,415,540)</f>
        <v>471</v>
      </c>
      <c r="O46" s="36" t="s">
        <v>1001</v>
      </c>
      <c r="P46" s="25">
        <v>650</v>
      </c>
      <c r="Q46" s="16" t="s">
        <v>1092</v>
      </c>
      <c r="R46" s="39" t="s">
        <v>30</v>
      </c>
      <c r="S46" s="81">
        <v>822</v>
      </c>
      <c r="T46" s="16" t="s">
        <v>1092</v>
      </c>
      <c r="U46" s="39" t="s">
        <v>30</v>
      </c>
    </row>
    <row r="47" spans="1:21" ht="12.6" customHeight="1">
      <c r="A47" s="143" t="s">
        <v>34</v>
      </c>
      <c r="B47" s="43" t="s">
        <v>1054</v>
      </c>
      <c r="C47" s="16">
        <v>60</v>
      </c>
      <c r="D47" s="18">
        <v>2.8</v>
      </c>
      <c r="E47" s="16">
        <f t="shared" si="11"/>
        <v>96</v>
      </c>
      <c r="F47" s="85" t="s">
        <v>168</v>
      </c>
      <c r="G47" s="263">
        <v>0.27</v>
      </c>
      <c r="H47" s="53">
        <v>0.56999999999999995</v>
      </c>
      <c r="I47" s="16">
        <v>74</v>
      </c>
      <c r="J47" s="16">
        <v>75.5</v>
      </c>
      <c r="K47" s="31">
        <v>67</v>
      </c>
      <c r="L47" s="25">
        <f>AVERAGE(519,420,406,410,425,386,365,501,470,405,423)</f>
        <v>430</v>
      </c>
      <c r="M47" s="16" t="s">
        <v>1008</v>
      </c>
      <c r="N47" s="25">
        <f>AVERAGE(525,600,613,516,700,550,573,619,566,670,553)</f>
        <v>589.5454545454545</v>
      </c>
      <c r="O47" s="36" t="s">
        <v>1001</v>
      </c>
      <c r="P47" s="25">
        <v>528</v>
      </c>
      <c r="Q47" s="16" t="s">
        <v>862</v>
      </c>
      <c r="R47" s="39" t="s">
        <v>30</v>
      </c>
      <c r="S47" s="81">
        <v>750</v>
      </c>
      <c r="T47" s="16" t="s">
        <v>734</v>
      </c>
      <c r="U47" s="39" t="s">
        <v>32</v>
      </c>
    </row>
    <row r="48" spans="1:21" ht="12.6" customHeight="1">
      <c r="A48" s="59" t="s">
        <v>34</v>
      </c>
      <c r="B48" s="59" t="s">
        <v>1055</v>
      </c>
      <c r="C48" s="27">
        <v>60</v>
      </c>
      <c r="D48" s="41">
        <v>2.8</v>
      </c>
      <c r="E48" s="27">
        <f>1.6*C48</f>
        <v>96</v>
      </c>
      <c r="F48" s="86" t="s">
        <v>168</v>
      </c>
      <c r="G48" s="55">
        <v>0.27</v>
      </c>
      <c r="H48" s="56">
        <v>0.27</v>
      </c>
      <c r="I48" s="27">
        <v>51.5</v>
      </c>
      <c r="J48" s="27">
        <v>64.5</v>
      </c>
      <c r="K48" s="33">
        <v>55</v>
      </c>
      <c r="L48" s="26">
        <f>AVERAGE(348,360,395,452,400,400,430)</f>
        <v>397.85714285714283</v>
      </c>
      <c r="M48" s="27" t="s">
        <v>1092</v>
      </c>
      <c r="N48" s="26">
        <f>AVERAGE(529,525,650,550,575,568,660,569,565,549,658,510,589)</f>
        <v>576.69230769230774</v>
      </c>
      <c r="O48" s="33" t="s">
        <v>1001</v>
      </c>
      <c r="P48" s="26">
        <v>490</v>
      </c>
      <c r="Q48" s="27" t="s">
        <v>1092</v>
      </c>
      <c r="R48" s="33" t="s">
        <v>30</v>
      </c>
      <c r="S48" s="26">
        <v>700</v>
      </c>
      <c r="T48" s="27" t="s">
        <v>593</v>
      </c>
      <c r="U48" s="33" t="s">
        <v>32</v>
      </c>
    </row>
    <row r="49" spans="1:21" ht="12.6" customHeight="1">
      <c r="A49" s="57" t="s">
        <v>34</v>
      </c>
      <c r="B49" s="43" t="s">
        <v>1056</v>
      </c>
      <c r="C49" s="16">
        <v>85</v>
      </c>
      <c r="D49" s="18">
        <v>1.2</v>
      </c>
      <c r="E49" s="16">
        <f t="shared" si="11"/>
        <v>136</v>
      </c>
      <c r="F49" s="85" t="s">
        <v>168</v>
      </c>
      <c r="G49" s="58">
        <v>1</v>
      </c>
      <c r="H49" s="53">
        <v>0.874</v>
      </c>
      <c r="I49" s="16">
        <v>72.5</v>
      </c>
      <c r="J49" s="16">
        <v>80</v>
      </c>
      <c r="K49" s="31">
        <v>77</v>
      </c>
      <c r="L49" s="25">
        <f>AVERAGE(2700,2700,2605)</f>
        <v>2668.3333333333335</v>
      </c>
      <c r="M49" s="16" t="s">
        <v>583</v>
      </c>
      <c r="N49" s="25">
        <f>AVERAGE(3280,3300,3888,3539,3800,3050)</f>
        <v>3476.1666666666665</v>
      </c>
      <c r="O49" s="16" t="s">
        <v>862</v>
      </c>
      <c r="P49" s="25">
        <f>3889*CA.US</f>
        <v>2955.64</v>
      </c>
      <c r="Q49" s="16" t="s">
        <v>1001</v>
      </c>
      <c r="R49" s="39" t="s">
        <v>623</v>
      </c>
      <c r="S49" s="81" t="s">
        <v>16</v>
      </c>
      <c r="T49" s="16" t="s">
        <v>16</v>
      </c>
      <c r="U49" s="39" t="s">
        <v>16</v>
      </c>
    </row>
    <row r="50" spans="1:21" ht="12.6" customHeight="1">
      <c r="A50" s="57" t="s">
        <v>34</v>
      </c>
      <c r="B50" s="43" t="s">
        <v>1057</v>
      </c>
      <c r="C50" s="16">
        <v>85</v>
      </c>
      <c r="D50" s="18">
        <v>1.4</v>
      </c>
      <c r="E50" s="16">
        <f t="shared" si="11"/>
        <v>136</v>
      </c>
      <c r="F50" s="85" t="s">
        <v>168</v>
      </c>
      <c r="G50" s="58">
        <v>1</v>
      </c>
      <c r="H50" s="53">
        <v>0.59499999999999997</v>
      </c>
      <c r="I50" s="16">
        <v>64</v>
      </c>
      <c r="J50" s="16">
        <v>70</v>
      </c>
      <c r="K50" s="31">
        <v>67</v>
      </c>
      <c r="L50" s="25">
        <f>AVERAGE(470,469,489,455,509,501,480,470,489)</f>
        <v>481.33333333333331</v>
      </c>
      <c r="M50" s="36" t="s">
        <v>1008</v>
      </c>
      <c r="N50" s="25">
        <f>AVERAGE(588,599,579,616,599,620,709,680,710,799,700,705)</f>
        <v>658.66666666666663</v>
      </c>
      <c r="O50" s="16" t="s">
        <v>1092</v>
      </c>
      <c r="P50" s="25">
        <v>750</v>
      </c>
      <c r="Q50" s="16" t="s">
        <v>1092</v>
      </c>
      <c r="R50" s="39" t="s">
        <v>32</v>
      </c>
      <c r="S50" s="81">
        <v>850</v>
      </c>
      <c r="T50" s="16" t="s">
        <v>862</v>
      </c>
      <c r="U50" s="39" t="s">
        <v>30</v>
      </c>
    </row>
    <row r="51" spans="1:21" ht="12.6" customHeight="1">
      <c r="A51" s="57" t="s">
        <v>34</v>
      </c>
      <c r="B51" s="43" t="s">
        <v>1058</v>
      </c>
      <c r="C51" s="16">
        <v>85</v>
      </c>
      <c r="D51" s="18">
        <v>2.8</v>
      </c>
      <c r="E51" s="16">
        <f t="shared" si="11"/>
        <v>136</v>
      </c>
      <c r="F51" s="85" t="s">
        <v>168</v>
      </c>
      <c r="G51" s="58">
        <v>1</v>
      </c>
      <c r="H51" s="53">
        <v>0.23</v>
      </c>
      <c r="I51" s="16">
        <v>46.5</v>
      </c>
      <c r="J51" s="16">
        <v>61</v>
      </c>
      <c r="K51" s="31">
        <v>55</v>
      </c>
      <c r="L51" s="25">
        <f>AVERAGE(212,249,234,229,235,229,224,280,300,237)</f>
        <v>242.9</v>
      </c>
      <c r="M51" s="16" t="s">
        <v>1092</v>
      </c>
      <c r="N51" s="25">
        <f>AVERAGE(398,338,400,345,369,400,359,360,367,360,358,380)</f>
        <v>369.5</v>
      </c>
      <c r="O51" s="16" t="s">
        <v>1092</v>
      </c>
      <c r="P51" s="25">
        <v>195</v>
      </c>
      <c r="Q51" s="16" t="s">
        <v>813</v>
      </c>
      <c r="R51" s="39" t="s">
        <v>28</v>
      </c>
      <c r="S51" s="81">
        <v>400</v>
      </c>
      <c r="T51" s="16" t="s">
        <v>862</v>
      </c>
      <c r="U51" s="39" t="s">
        <v>32</v>
      </c>
    </row>
    <row r="52" spans="1:21" ht="12.6" customHeight="1">
      <c r="A52" s="143" t="s">
        <v>34</v>
      </c>
      <c r="B52" s="43" t="s">
        <v>1059</v>
      </c>
      <c r="C52" s="16">
        <v>100</v>
      </c>
      <c r="D52" s="18">
        <v>2</v>
      </c>
      <c r="E52" s="16">
        <f t="shared" si="11"/>
        <v>160</v>
      </c>
      <c r="F52" s="85" t="s">
        <v>168</v>
      </c>
      <c r="G52" s="58">
        <v>1</v>
      </c>
      <c r="H52" s="53">
        <v>0.67</v>
      </c>
      <c r="I52" s="16">
        <v>84</v>
      </c>
      <c r="J52" s="16">
        <v>70</v>
      </c>
      <c r="K52" s="31">
        <v>67</v>
      </c>
      <c r="L52" s="25">
        <f>AVERAGE(680,799,799,636,699,654,863,616,649,836,819)</f>
        <v>731.81818181818187</v>
      </c>
      <c r="M52" s="16" t="s">
        <v>1092</v>
      </c>
      <c r="N52" s="25">
        <f>AVERAGE(1250,1050,910,899,1249,1178,1098,1138,1067,1099,1059)</f>
        <v>1090.6363636363637</v>
      </c>
      <c r="O52" s="16" t="s">
        <v>821</v>
      </c>
      <c r="P52" s="25">
        <v>1220</v>
      </c>
      <c r="Q52" s="16" t="s">
        <v>1092</v>
      </c>
      <c r="R52" s="39" t="s">
        <v>30</v>
      </c>
      <c r="S52" s="81">
        <v>1430</v>
      </c>
      <c r="T52" s="16" t="s">
        <v>1092</v>
      </c>
      <c r="U52" s="39" t="s">
        <v>30</v>
      </c>
    </row>
    <row r="53" spans="1:21" ht="12.6" customHeight="1">
      <c r="A53" s="57" t="s">
        <v>34</v>
      </c>
      <c r="B53" s="43" t="s">
        <v>1060</v>
      </c>
      <c r="C53" s="16">
        <v>100</v>
      </c>
      <c r="D53" s="18">
        <v>2.8</v>
      </c>
      <c r="E53" s="16">
        <f t="shared" si="11"/>
        <v>160</v>
      </c>
      <c r="F53" s="85" t="s">
        <v>168</v>
      </c>
      <c r="G53" s="48">
        <v>0.45</v>
      </c>
      <c r="H53" s="53">
        <v>0.74</v>
      </c>
      <c r="I53" s="16">
        <v>86.8</v>
      </c>
      <c r="J53" s="16">
        <v>76.400000000000006</v>
      </c>
      <c r="K53" s="31">
        <v>67</v>
      </c>
      <c r="L53" s="25">
        <f>AVERAGE(538,552,618,569,649,670,559,636,559)</f>
        <v>594.44444444444446</v>
      </c>
      <c r="M53" s="16" t="s">
        <v>1092</v>
      </c>
      <c r="N53" s="25">
        <f>AVERAGE(850,860,815,848,975,885,1075,1028,969,939)</f>
        <v>924.4</v>
      </c>
      <c r="O53" s="16" t="s">
        <v>810</v>
      </c>
      <c r="P53" s="25">
        <v>754</v>
      </c>
      <c r="Q53" s="16" t="s">
        <v>1092</v>
      </c>
      <c r="R53" s="39" t="s">
        <v>30</v>
      </c>
      <c r="S53" s="81">
        <v>800</v>
      </c>
      <c r="T53" s="16" t="s">
        <v>637</v>
      </c>
      <c r="U53" s="39" t="s">
        <v>32</v>
      </c>
    </row>
    <row r="54" spans="1:21" s="161" customFormat="1" ht="12.6" customHeight="1">
      <c r="A54" s="213" t="s">
        <v>34</v>
      </c>
      <c r="B54" s="213" t="s">
        <v>1061</v>
      </c>
      <c r="C54" s="142">
        <v>100</v>
      </c>
      <c r="D54" s="142">
        <v>3.5</v>
      </c>
      <c r="E54" s="141">
        <f t="shared" si="11"/>
        <v>160</v>
      </c>
      <c r="F54" s="214" t="s">
        <v>168</v>
      </c>
      <c r="G54" s="215">
        <v>1</v>
      </c>
      <c r="H54" s="216">
        <v>0.28599999999999998</v>
      </c>
      <c r="I54" s="141">
        <v>61</v>
      </c>
      <c r="J54" s="141">
        <v>62.5</v>
      </c>
      <c r="K54" s="141">
        <v>55</v>
      </c>
      <c r="L54" s="203">
        <f>AVERAGE(340,234,250,294,280,318,335,349,335,259)</f>
        <v>299.39999999999998</v>
      </c>
      <c r="M54" s="160" t="s">
        <v>1092</v>
      </c>
      <c r="N54" s="203">
        <f>AVERAGE(349,370,485,400,550,610,598)</f>
        <v>480.28571428571428</v>
      </c>
      <c r="O54" s="160" t="s">
        <v>1008</v>
      </c>
      <c r="P54" s="203">
        <v>250</v>
      </c>
      <c r="Q54" s="160" t="s">
        <v>1092</v>
      </c>
      <c r="R54" s="141" t="s">
        <v>1035</v>
      </c>
      <c r="S54" s="203">
        <v>470</v>
      </c>
      <c r="T54" s="160" t="s">
        <v>1092</v>
      </c>
      <c r="U54" s="186" t="s">
        <v>30</v>
      </c>
    </row>
    <row r="55" spans="1:21" ht="12.6" customHeight="1">
      <c r="A55" s="57" t="s">
        <v>34</v>
      </c>
      <c r="B55" s="43" t="s">
        <v>1062</v>
      </c>
      <c r="C55" s="16">
        <v>100</v>
      </c>
      <c r="D55" s="18">
        <v>4</v>
      </c>
      <c r="E55" s="16">
        <f t="shared" si="11"/>
        <v>160</v>
      </c>
      <c r="F55" s="85" t="s">
        <v>168</v>
      </c>
      <c r="G55" s="48" t="s">
        <v>31</v>
      </c>
      <c r="H55" s="53">
        <v>0.28000000000000003</v>
      </c>
      <c r="I55" s="16">
        <v>48.5</v>
      </c>
      <c r="J55" s="16">
        <v>62.5</v>
      </c>
      <c r="K55" s="31">
        <v>55</v>
      </c>
      <c r="L55" s="25">
        <f>AVERAGE(0)</f>
        <v>0</v>
      </c>
      <c r="M55" s="16" t="s">
        <v>16</v>
      </c>
      <c r="N55" s="25">
        <f>AVERAGE(0)</f>
        <v>0</v>
      </c>
      <c r="O55" s="16" t="s">
        <v>16</v>
      </c>
      <c r="P55" s="25" t="s">
        <v>16</v>
      </c>
      <c r="Q55" s="16" t="s">
        <v>16</v>
      </c>
      <c r="R55" s="39" t="s">
        <v>16</v>
      </c>
      <c r="S55" s="81">
        <v>2000</v>
      </c>
      <c r="T55" s="16" t="s">
        <v>637</v>
      </c>
      <c r="U55" s="39" t="s">
        <v>446</v>
      </c>
    </row>
    <row r="56" spans="1:21" ht="12.6" customHeight="1">
      <c r="A56" s="143" t="s">
        <v>34</v>
      </c>
      <c r="B56" s="43" t="s">
        <v>1063</v>
      </c>
      <c r="C56" s="16">
        <v>135</v>
      </c>
      <c r="D56" s="18">
        <v>2</v>
      </c>
      <c r="E56" s="16">
        <f t="shared" si="11"/>
        <v>216</v>
      </c>
      <c r="F56" s="85" t="s">
        <v>168</v>
      </c>
      <c r="G56" s="48">
        <v>1.5</v>
      </c>
      <c r="H56" s="53">
        <v>0.79</v>
      </c>
      <c r="I56" s="16">
        <v>101</v>
      </c>
      <c r="J56" s="16">
        <v>75</v>
      </c>
      <c r="K56" s="31">
        <v>72</v>
      </c>
      <c r="L56" s="25">
        <f>AVERAGE(1053,928,899,888,689,709,700,794)</f>
        <v>832.5</v>
      </c>
      <c r="M56" s="16" t="s">
        <v>1092</v>
      </c>
      <c r="N56" s="25">
        <f>AVERAGE(1335,1148,1245,1380,1125,1116,1380,1398,1100,1290)</f>
        <v>1251.7</v>
      </c>
      <c r="O56" s="16" t="s">
        <v>1001</v>
      </c>
      <c r="P56" s="25">
        <v>1600</v>
      </c>
      <c r="Q56" s="16" t="s">
        <v>807</v>
      </c>
      <c r="R56" s="39" t="s">
        <v>446</v>
      </c>
      <c r="S56" s="81">
        <v>2100</v>
      </c>
      <c r="T56" s="16" t="s">
        <v>807</v>
      </c>
      <c r="U56" s="39" t="s">
        <v>446</v>
      </c>
    </row>
    <row r="57" spans="1:21" ht="12.6" customHeight="1">
      <c r="A57" s="59" t="s">
        <v>34</v>
      </c>
      <c r="B57" s="59" t="s">
        <v>1064</v>
      </c>
      <c r="C57" s="27">
        <v>135</v>
      </c>
      <c r="D57" s="41">
        <v>2.8</v>
      </c>
      <c r="E57" s="27">
        <f t="shared" si="11"/>
        <v>216</v>
      </c>
      <c r="F57" s="86" t="s">
        <v>168</v>
      </c>
      <c r="G57" s="55">
        <v>1.6</v>
      </c>
      <c r="H57" s="56">
        <v>0.58499999999999996</v>
      </c>
      <c r="I57" s="27">
        <v>93</v>
      </c>
      <c r="J57" s="27">
        <v>68.5</v>
      </c>
      <c r="K57" s="33">
        <v>55</v>
      </c>
      <c r="L57" s="26">
        <f>AVERAGE(199,178,200,180,189,188,235,245,205,138,210,204,215)</f>
        <v>198.92307692307693</v>
      </c>
      <c r="M57" s="27" t="s">
        <v>1092</v>
      </c>
      <c r="N57" s="26">
        <f>AVERAGE(288,279,210,264,375,317,360)</f>
        <v>299</v>
      </c>
      <c r="O57" s="33" t="s">
        <v>1008</v>
      </c>
      <c r="P57" s="26">
        <v>200</v>
      </c>
      <c r="Q57" s="27" t="s">
        <v>1092</v>
      </c>
      <c r="R57" s="33" t="s">
        <v>30</v>
      </c>
      <c r="S57" s="26">
        <v>325</v>
      </c>
      <c r="T57" s="27" t="s">
        <v>881</v>
      </c>
      <c r="U57" s="33" t="s">
        <v>29</v>
      </c>
    </row>
    <row r="58" spans="1:21" ht="12.6" customHeight="1">
      <c r="A58" s="57" t="s">
        <v>34</v>
      </c>
      <c r="B58" s="43" t="s">
        <v>1065</v>
      </c>
      <c r="C58" s="16">
        <v>180</v>
      </c>
      <c r="D58" s="18">
        <v>2.8</v>
      </c>
      <c r="E58" s="16">
        <f t="shared" si="11"/>
        <v>288</v>
      </c>
      <c r="F58" s="85" t="s">
        <v>168</v>
      </c>
      <c r="G58" s="48">
        <v>1.4</v>
      </c>
      <c r="H58" s="53">
        <v>0.98499999999999999</v>
      </c>
      <c r="I58" s="16">
        <v>131</v>
      </c>
      <c r="J58" s="16">
        <v>82</v>
      </c>
      <c r="K58" s="31">
        <v>72</v>
      </c>
      <c r="L58" s="25">
        <f>AVERAGE(290,320,323,270,308,288,340,257,288,379)</f>
        <v>306.3</v>
      </c>
      <c r="M58" s="16" t="s">
        <v>1092</v>
      </c>
      <c r="N58" s="25">
        <f>AVERAGE(404,400,580,486)</f>
        <v>467.5</v>
      </c>
      <c r="O58" s="16" t="s">
        <v>1008</v>
      </c>
      <c r="P58" s="25">
        <v>402</v>
      </c>
      <c r="Q58" s="16" t="s">
        <v>862</v>
      </c>
      <c r="R58" s="39" t="s">
        <v>30</v>
      </c>
      <c r="S58" s="81">
        <v>425</v>
      </c>
      <c r="T58" s="16" t="s">
        <v>881</v>
      </c>
      <c r="U58" s="39" t="s">
        <v>28</v>
      </c>
    </row>
    <row r="59" spans="1:21" ht="12.6" customHeight="1">
      <c r="A59" s="143" t="s">
        <v>34</v>
      </c>
      <c r="B59" s="43" t="s">
        <v>1066</v>
      </c>
      <c r="C59" s="16">
        <v>200</v>
      </c>
      <c r="D59" s="18">
        <v>2</v>
      </c>
      <c r="E59" s="16">
        <f t="shared" si="11"/>
        <v>320</v>
      </c>
      <c r="F59" s="85" t="s">
        <v>168</v>
      </c>
      <c r="G59" s="48">
        <v>1.8</v>
      </c>
      <c r="H59" s="53">
        <v>2.6</v>
      </c>
      <c r="I59" s="16">
        <v>182</v>
      </c>
      <c r="J59" s="16">
        <v>123</v>
      </c>
      <c r="K59" s="31">
        <v>111</v>
      </c>
      <c r="L59" s="25">
        <f>AVERAGE(0)</f>
        <v>0</v>
      </c>
      <c r="M59" s="16" t="s">
        <v>16</v>
      </c>
      <c r="N59" s="25">
        <f>AVERAGE(4980,4995,4979)</f>
        <v>4984.666666666667</v>
      </c>
      <c r="O59" s="16" t="s">
        <v>765</v>
      </c>
      <c r="P59" s="25">
        <v>4999</v>
      </c>
      <c r="Q59" s="16" t="s">
        <v>765</v>
      </c>
      <c r="R59" s="39" t="s">
        <v>30</v>
      </c>
      <c r="S59" s="81">
        <v>4995</v>
      </c>
      <c r="T59" s="16" t="s">
        <v>810</v>
      </c>
      <c r="U59" s="39" t="s">
        <v>29</v>
      </c>
    </row>
    <row r="60" spans="1:21" ht="12.6" customHeight="1">
      <c r="A60" s="57" t="s">
        <v>34</v>
      </c>
      <c r="B60" s="43" t="s">
        <v>1067</v>
      </c>
      <c r="C60" s="16">
        <v>200</v>
      </c>
      <c r="D60" s="18">
        <v>3.5</v>
      </c>
      <c r="E60" s="16">
        <f t="shared" si="11"/>
        <v>320</v>
      </c>
      <c r="F60" s="85" t="s">
        <v>168</v>
      </c>
      <c r="G60" s="48">
        <v>1.8</v>
      </c>
      <c r="H60" s="53">
        <v>0.78</v>
      </c>
      <c r="I60" s="16">
        <v>122</v>
      </c>
      <c r="J60" s="16">
        <v>77.5</v>
      </c>
      <c r="K60" s="31">
        <v>67</v>
      </c>
      <c r="L60" s="25">
        <f>AVERAGE(185,125,145,150,121,151,171,197,178,200,197,196)</f>
        <v>168</v>
      </c>
      <c r="M60" s="16" t="s">
        <v>1008</v>
      </c>
      <c r="N60" s="25">
        <f>AVERAGE(248,257,259,248,358,245,295,313,243,250)</f>
        <v>271.60000000000002</v>
      </c>
      <c r="O60" s="16" t="s">
        <v>813</v>
      </c>
      <c r="P60" s="25">
        <v>125</v>
      </c>
      <c r="Q60" s="16" t="s">
        <v>1092</v>
      </c>
      <c r="R60" s="39" t="s">
        <v>30</v>
      </c>
      <c r="S60" s="81">
        <v>325</v>
      </c>
      <c r="T60" s="16" t="s">
        <v>637</v>
      </c>
      <c r="U60" s="39" t="s">
        <v>446</v>
      </c>
    </row>
    <row r="61" spans="1:21" ht="12.6" customHeight="1">
      <c r="A61" s="59" t="s">
        <v>34</v>
      </c>
      <c r="B61" s="59" t="s">
        <v>1068</v>
      </c>
      <c r="C61" s="27">
        <v>200</v>
      </c>
      <c r="D61" s="41">
        <v>4</v>
      </c>
      <c r="E61" s="27">
        <f t="shared" si="11"/>
        <v>320</v>
      </c>
      <c r="F61" s="86" t="s">
        <v>168</v>
      </c>
      <c r="G61" s="55">
        <v>2</v>
      </c>
      <c r="H61" s="56">
        <v>0.55000000000000004</v>
      </c>
      <c r="I61" s="27">
        <v>120.7</v>
      </c>
      <c r="J61" s="27">
        <v>66</v>
      </c>
      <c r="K61" s="33">
        <v>55</v>
      </c>
      <c r="L61" s="26">
        <f>AVERAGE(180,125,150,135,173,191,203,189,149,141)</f>
        <v>163.6</v>
      </c>
      <c r="M61" s="27" t="s">
        <v>1008</v>
      </c>
      <c r="N61" s="26">
        <f>AVERAGE(299,193,250,378,235,285,262,255,255)</f>
        <v>268</v>
      </c>
      <c r="O61" s="33" t="s">
        <v>1092</v>
      </c>
      <c r="P61" s="26">
        <f>229*CA.US</f>
        <v>174.04</v>
      </c>
      <c r="Q61" s="27" t="s">
        <v>821</v>
      </c>
      <c r="R61" s="33" t="s">
        <v>623</v>
      </c>
      <c r="S61" s="26">
        <v>450</v>
      </c>
      <c r="T61" s="27" t="s">
        <v>577</v>
      </c>
      <c r="U61" s="33" t="s">
        <v>35</v>
      </c>
    </row>
    <row r="62" spans="1:21" ht="12.6" customHeight="1">
      <c r="A62" s="57" t="s">
        <v>34</v>
      </c>
      <c r="B62" s="43" t="s">
        <v>1069</v>
      </c>
      <c r="C62" s="16">
        <v>300</v>
      </c>
      <c r="D62" s="18">
        <v>2.8</v>
      </c>
      <c r="E62" s="16">
        <f t="shared" si="11"/>
        <v>480</v>
      </c>
      <c r="F62" s="85" t="s">
        <v>168</v>
      </c>
      <c r="G62" s="48">
        <v>3.5</v>
      </c>
      <c r="H62" s="53">
        <v>2.73</v>
      </c>
      <c r="I62" s="16">
        <v>244</v>
      </c>
      <c r="J62" s="16">
        <v>120</v>
      </c>
      <c r="K62" s="31">
        <v>111</v>
      </c>
      <c r="L62" s="25">
        <f>AVERAGE(0)</f>
        <v>0</v>
      </c>
      <c r="M62" s="15" t="s">
        <v>16</v>
      </c>
      <c r="N62" s="25">
        <f>AVERAGE(8000)</f>
        <v>8000</v>
      </c>
      <c r="O62" s="15" t="s">
        <v>862</v>
      </c>
      <c r="P62" s="25" t="s">
        <v>16</v>
      </c>
      <c r="Q62" s="16" t="s">
        <v>16</v>
      </c>
      <c r="R62" s="39" t="s">
        <v>16</v>
      </c>
      <c r="S62" s="81">
        <v>14000</v>
      </c>
      <c r="T62" s="16" t="s">
        <v>807</v>
      </c>
      <c r="U62" s="39" t="s">
        <v>446</v>
      </c>
    </row>
    <row r="63" spans="1:21" ht="12.6" customHeight="1">
      <c r="A63" s="57" t="s">
        <v>34</v>
      </c>
      <c r="B63" s="43" t="s">
        <v>1070</v>
      </c>
      <c r="C63" s="16">
        <v>300</v>
      </c>
      <c r="D63" s="18">
        <v>4</v>
      </c>
      <c r="E63" s="16">
        <f t="shared" si="11"/>
        <v>480</v>
      </c>
      <c r="F63" s="85" t="s">
        <v>168</v>
      </c>
      <c r="G63" s="48">
        <v>3.5</v>
      </c>
      <c r="H63" s="53">
        <v>1.2</v>
      </c>
      <c r="I63" s="16">
        <v>205</v>
      </c>
      <c r="J63" s="16">
        <v>88</v>
      </c>
      <c r="K63" s="31">
        <v>82</v>
      </c>
      <c r="L63" s="25">
        <f>AVERAGE(260,259,269,335,299,275)</f>
        <v>282.83333333333331</v>
      </c>
      <c r="M63" s="31" t="s">
        <v>1008</v>
      </c>
      <c r="N63" s="25">
        <f>AVERAGE(414,400,414,575,560,486)</f>
        <v>474.83333333333331</v>
      </c>
      <c r="O63" s="15" t="s">
        <v>863</v>
      </c>
      <c r="P63" s="25">
        <f>395*CA.US</f>
        <v>300.2</v>
      </c>
      <c r="Q63" s="16" t="s">
        <v>1092</v>
      </c>
      <c r="R63" s="39" t="s">
        <v>35</v>
      </c>
      <c r="S63" s="81" t="s">
        <v>16</v>
      </c>
      <c r="T63" s="16" t="s">
        <v>16</v>
      </c>
      <c r="U63" s="39" t="s">
        <v>16</v>
      </c>
    </row>
    <row r="64" spans="1:21" ht="12.6" customHeight="1">
      <c r="A64" s="57" t="s">
        <v>34</v>
      </c>
      <c r="B64" s="43" t="s">
        <v>1071</v>
      </c>
      <c r="C64" s="16">
        <v>500</v>
      </c>
      <c r="D64" s="18">
        <v>5.6</v>
      </c>
      <c r="E64" s="16">
        <f t="shared" si="11"/>
        <v>800</v>
      </c>
      <c r="F64" s="85" t="s">
        <v>168</v>
      </c>
      <c r="G64" s="48">
        <v>4.9000000000000004</v>
      </c>
      <c r="H64" s="53">
        <v>1.865</v>
      </c>
      <c r="I64" s="16">
        <v>290</v>
      </c>
      <c r="J64" s="16">
        <v>112</v>
      </c>
      <c r="K64" s="31" t="s">
        <v>311</v>
      </c>
      <c r="L64" s="25">
        <f>AVERAGE(0)</f>
        <v>0</v>
      </c>
      <c r="M64" s="15" t="s">
        <v>16</v>
      </c>
      <c r="N64" s="25">
        <f>AVERAGE(0)</f>
        <v>0</v>
      </c>
      <c r="O64" s="15" t="s">
        <v>16</v>
      </c>
      <c r="P64" s="25" t="s">
        <v>16</v>
      </c>
      <c r="Q64" s="16" t="s">
        <v>16</v>
      </c>
      <c r="R64" s="39" t="s">
        <v>16</v>
      </c>
      <c r="S64" s="81" t="s">
        <v>16</v>
      </c>
      <c r="T64" s="16" t="s">
        <v>16</v>
      </c>
      <c r="U64" s="39" t="s">
        <v>16</v>
      </c>
    </row>
    <row r="65" spans="1:21" ht="12.6" customHeight="1">
      <c r="A65" s="59" t="s">
        <v>34</v>
      </c>
      <c r="B65" s="59" t="s">
        <v>1072</v>
      </c>
      <c r="C65" s="27">
        <v>800</v>
      </c>
      <c r="D65" s="41">
        <v>8</v>
      </c>
      <c r="E65" s="27">
        <f t="shared" si="11"/>
        <v>1280</v>
      </c>
      <c r="F65" s="86" t="s">
        <v>168</v>
      </c>
      <c r="G65" s="55">
        <v>4</v>
      </c>
      <c r="H65" s="56">
        <v>3.25</v>
      </c>
      <c r="I65" s="27">
        <v>505</v>
      </c>
      <c r="J65" s="27">
        <v>128.5</v>
      </c>
      <c r="K65" s="33" t="s">
        <v>311</v>
      </c>
      <c r="L65" s="26">
        <f>AVERAGE(0)</f>
        <v>0</v>
      </c>
      <c r="M65" s="27" t="s">
        <v>16</v>
      </c>
      <c r="N65" s="26">
        <f>AVERAGE(0)</f>
        <v>0</v>
      </c>
      <c r="O65" s="33" t="s">
        <v>16</v>
      </c>
      <c r="P65" s="26" t="s">
        <v>16</v>
      </c>
      <c r="Q65" s="27" t="s">
        <v>16</v>
      </c>
      <c r="R65" s="33" t="s">
        <v>16</v>
      </c>
      <c r="S65" s="26" t="s">
        <v>16</v>
      </c>
      <c r="T65" s="27" t="s">
        <v>16</v>
      </c>
      <c r="U65" s="33" t="s">
        <v>16</v>
      </c>
    </row>
    <row r="66" spans="1:21" ht="12.6" customHeight="1">
      <c r="A66" s="57" t="s">
        <v>34</v>
      </c>
      <c r="B66" s="57" t="s">
        <v>1073</v>
      </c>
      <c r="C66" s="16" t="s">
        <v>59</v>
      </c>
      <c r="D66" s="18" t="s">
        <v>75</v>
      </c>
      <c r="E66" s="16" t="s">
        <v>96</v>
      </c>
      <c r="F66" s="85" t="s">
        <v>168</v>
      </c>
      <c r="G66" s="58">
        <v>0.5</v>
      </c>
      <c r="H66" s="53">
        <v>0.32</v>
      </c>
      <c r="I66" s="16">
        <v>68</v>
      </c>
      <c r="J66" s="16">
        <v>70</v>
      </c>
      <c r="K66" s="31">
        <v>67</v>
      </c>
      <c r="L66" s="25">
        <f>AVERAGE(249,250,249,208,203,203,280,225,221)</f>
        <v>232</v>
      </c>
      <c r="M66" s="16" t="s">
        <v>1008</v>
      </c>
      <c r="N66" s="25">
        <f>AVERAGE(288,250,274,339,268,300,338,325,328)</f>
        <v>301.11111111111109</v>
      </c>
      <c r="O66" s="16" t="s">
        <v>1008</v>
      </c>
      <c r="P66" s="25" t="s">
        <v>16</v>
      </c>
      <c r="Q66" s="16" t="s">
        <v>16</v>
      </c>
      <c r="R66" s="39" t="s">
        <v>16</v>
      </c>
      <c r="S66" s="81">
        <v>300</v>
      </c>
      <c r="T66" s="16" t="s">
        <v>881</v>
      </c>
      <c r="U66" s="39" t="s">
        <v>32</v>
      </c>
    </row>
    <row r="67" spans="1:21" ht="12.6" customHeight="1">
      <c r="A67" s="143" t="s">
        <v>34</v>
      </c>
      <c r="B67" s="143" t="s">
        <v>1074</v>
      </c>
      <c r="C67" s="16" t="s">
        <v>156</v>
      </c>
      <c r="D67" s="18" t="s">
        <v>157</v>
      </c>
      <c r="E67" s="16" t="s">
        <v>158</v>
      </c>
      <c r="F67" s="85" t="s">
        <v>168</v>
      </c>
      <c r="G67" s="58">
        <v>0.61</v>
      </c>
      <c r="H67" s="53">
        <v>0.74</v>
      </c>
      <c r="I67" s="16">
        <v>99</v>
      </c>
      <c r="J67" s="16">
        <v>86</v>
      </c>
      <c r="K67" s="31">
        <v>82</v>
      </c>
      <c r="L67" s="25">
        <f>AVERAGE(283,349,299,299,289,330,349,300,350,360,366)</f>
        <v>324.90909090909093</v>
      </c>
      <c r="M67" s="16" t="s">
        <v>1092</v>
      </c>
      <c r="N67" s="25">
        <f>AVERAGE(400,398,450,390,397,439,418,358,449,519)</f>
        <v>421.8</v>
      </c>
      <c r="O67" s="16" t="s">
        <v>1092</v>
      </c>
      <c r="P67" s="25">
        <v>490</v>
      </c>
      <c r="Q67" s="16" t="s">
        <v>1092</v>
      </c>
      <c r="R67" s="39" t="s">
        <v>30</v>
      </c>
      <c r="S67" s="81">
        <v>650</v>
      </c>
      <c r="T67" s="16" t="s">
        <v>765</v>
      </c>
      <c r="U67" s="39" t="s">
        <v>32</v>
      </c>
    </row>
    <row r="68" spans="1:21" s="161" customFormat="1" ht="12.6" customHeight="1">
      <c r="A68" s="213" t="s">
        <v>34</v>
      </c>
      <c r="B68" s="213" t="s">
        <v>1075</v>
      </c>
      <c r="C68" s="142" t="s">
        <v>119</v>
      </c>
      <c r="D68" s="142">
        <v>3.4</v>
      </c>
      <c r="E68" s="141" t="s">
        <v>161</v>
      </c>
      <c r="F68" s="214" t="s">
        <v>168</v>
      </c>
      <c r="G68" s="215">
        <v>0.25</v>
      </c>
      <c r="H68" s="216">
        <v>0.47499999999999998</v>
      </c>
      <c r="I68" s="141">
        <v>80.5</v>
      </c>
      <c r="J68" s="141">
        <v>70</v>
      </c>
      <c r="K68" s="141">
        <v>67</v>
      </c>
      <c r="L68" s="203">
        <f>AVERAGE(308,310,300,327,319,400,319,317,299,350,355,320)</f>
        <v>327</v>
      </c>
      <c r="M68" s="160" t="s">
        <v>1008</v>
      </c>
      <c r="N68" s="203">
        <f>AVERAGE(450,445,399,379,445,433,450,450,500,460,529,480)</f>
        <v>451.66666666666669</v>
      </c>
      <c r="O68" s="160" t="s">
        <v>1092</v>
      </c>
      <c r="P68" s="203">
        <v>550</v>
      </c>
      <c r="Q68" s="160" t="s">
        <v>765</v>
      </c>
      <c r="R68" s="141" t="s">
        <v>30</v>
      </c>
      <c r="S68" s="203">
        <v>665</v>
      </c>
      <c r="T68" s="160" t="s">
        <v>637</v>
      </c>
      <c r="U68" s="186" t="s">
        <v>30</v>
      </c>
    </row>
    <row r="69" spans="1:21" ht="12.6" customHeight="1">
      <c r="A69" s="57" t="s">
        <v>34</v>
      </c>
      <c r="B69" s="57" t="s">
        <v>1076</v>
      </c>
      <c r="C69" s="16" t="s">
        <v>159</v>
      </c>
      <c r="D69" s="18" t="s">
        <v>157</v>
      </c>
      <c r="E69" s="16" t="s">
        <v>160</v>
      </c>
      <c r="F69" s="85" t="s">
        <v>168</v>
      </c>
      <c r="G69" s="58">
        <v>0.26</v>
      </c>
      <c r="H69" s="53">
        <v>0.73499999999999999</v>
      </c>
      <c r="I69" s="16">
        <v>107</v>
      </c>
      <c r="J69" s="16">
        <v>85</v>
      </c>
      <c r="K69" s="31">
        <v>82</v>
      </c>
      <c r="L69" s="16">
        <f>AVERAGE(760,649,695,772,690,779,725)</f>
        <v>724.28571428571433</v>
      </c>
      <c r="M69" s="16" t="s">
        <v>1092</v>
      </c>
      <c r="N69" s="25">
        <f>AVERAGE(848,820,699,880,970,948,1000,905,885)</f>
        <v>883.88888888888891</v>
      </c>
      <c r="O69" s="16" t="s">
        <v>1001</v>
      </c>
      <c r="P69" s="25">
        <v>850</v>
      </c>
      <c r="Q69" s="16" t="s">
        <v>1001</v>
      </c>
      <c r="R69" s="39" t="s">
        <v>30</v>
      </c>
      <c r="S69" s="81">
        <v>1400</v>
      </c>
      <c r="T69" s="16" t="s">
        <v>807</v>
      </c>
      <c r="U69" s="39" t="s">
        <v>446</v>
      </c>
    </row>
    <row r="70" spans="1:21" ht="12.6" customHeight="1">
      <c r="A70" s="57" t="s">
        <v>34</v>
      </c>
      <c r="B70" s="57" t="s">
        <v>1077</v>
      </c>
      <c r="C70" s="16" t="s">
        <v>193</v>
      </c>
      <c r="D70" s="18">
        <v>3.5</v>
      </c>
      <c r="E70" s="16" t="s">
        <v>194</v>
      </c>
      <c r="F70" s="85" t="s">
        <v>168</v>
      </c>
      <c r="G70" s="58">
        <v>1.2</v>
      </c>
      <c r="H70" s="53">
        <v>0.66</v>
      </c>
      <c r="I70" s="16">
        <v>87</v>
      </c>
      <c r="J70" s="16">
        <v>67</v>
      </c>
      <c r="K70" s="31">
        <v>55</v>
      </c>
      <c r="L70" s="16">
        <f>AVERAGE(171,219,230,206,180,171,195)</f>
        <v>196</v>
      </c>
      <c r="M70" s="16" t="s">
        <v>881</v>
      </c>
      <c r="N70" s="25">
        <f>AVERAGE(205,190,199,190)</f>
        <v>196</v>
      </c>
      <c r="O70" s="16" t="s">
        <v>1092</v>
      </c>
      <c r="P70" s="25">
        <v>290</v>
      </c>
      <c r="Q70" s="16" t="s">
        <v>765</v>
      </c>
      <c r="R70" s="39" t="s">
        <v>30</v>
      </c>
      <c r="S70" s="81">
        <v>400</v>
      </c>
      <c r="T70" s="16" t="s">
        <v>637</v>
      </c>
      <c r="U70" s="39" t="s">
        <v>446</v>
      </c>
    </row>
    <row r="71" spans="1:21" ht="12.6" customHeight="1">
      <c r="A71" s="57" t="s">
        <v>34</v>
      </c>
      <c r="B71" s="57" t="s">
        <v>1078</v>
      </c>
      <c r="C71" s="16" t="s">
        <v>113</v>
      </c>
      <c r="D71" s="18">
        <v>3.5</v>
      </c>
      <c r="E71" s="36" t="s">
        <v>162</v>
      </c>
      <c r="F71" s="85" t="s">
        <v>168</v>
      </c>
      <c r="G71" s="94">
        <v>1.8</v>
      </c>
      <c r="H71" s="95">
        <v>1.145</v>
      </c>
      <c r="I71" s="92">
        <v>186</v>
      </c>
      <c r="J71" s="92">
        <v>77</v>
      </c>
      <c r="K71" s="96">
        <v>67</v>
      </c>
      <c r="L71" s="16">
        <f>AVERAGE(789,718,650,1025,811,950,732,799,898)</f>
        <v>819.11111111111109</v>
      </c>
      <c r="M71" s="16" t="s">
        <v>881</v>
      </c>
      <c r="N71" s="25">
        <f>AVERAGE(1250,1380,1000,1229,1085,1135,1275,1227,1198,1196)</f>
        <v>1197.5</v>
      </c>
      <c r="O71" s="16" t="s">
        <v>821</v>
      </c>
      <c r="P71" s="25">
        <v>1080</v>
      </c>
      <c r="Q71" s="16" t="s">
        <v>881</v>
      </c>
      <c r="R71" s="39" t="s">
        <v>30</v>
      </c>
      <c r="S71" s="81">
        <v>1500</v>
      </c>
      <c r="T71" s="16" t="s">
        <v>765</v>
      </c>
      <c r="U71" s="39" t="s">
        <v>32</v>
      </c>
    </row>
    <row r="72" spans="1:21" ht="12.6" customHeight="1">
      <c r="A72" s="57" t="s">
        <v>34</v>
      </c>
      <c r="B72" s="57" t="s">
        <v>1079</v>
      </c>
      <c r="C72" s="16" t="s">
        <v>66</v>
      </c>
      <c r="D72" s="18">
        <v>4</v>
      </c>
      <c r="E72" s="16" t="s">
        <v>67</v>
      </c>
      <c r="F72" s="85" t="s">
        <v>168</v>
      </c>
      <c r="G72" s="58">
        <v>1</v>
      </c>
      <c r="H72" s="53">
        <v>0.68</v>
      </c>
      <c r="I72" s="16">
        <v>160.5</v>
      </c>
      <c r="J72" s="16">
        <v>67</v>
      </c>
      <c r="K72" s="31">
        <v>55</v>
      </c>
      <c r="L72" s="16">
        <f>AVERAGE(225,153,174,218,180,249,198,229,200,199,195,205)</f>
        <v>202.08333333333334</v>
      </c>
      <c r="M72" s="16" t="s">
        <v>1092</v>
      </c>
      <c r="N72" s="25">
        <f>AVERAGE(280,265,270,310,325,285,320,284)</f>
        <v>292.375</v>
      </c>
      <c r="O72" s="16" t="s">
        <v>1008</v>
      </c>
      <c r="P72" s="25">
        <v>328</v>
      </c>
      <c r="Q72" s="16" t="s">
        <v>862</v>
      </c>
      <c r="R72" s="39" t="s">
        <v>30</v>
      </c>
      <c r="S72" s="81">
        <v>400</v>
      </c>
      <c r="T72" s="16" t="s">
        <v>807</v>
      </c>
      <c r="U72" s="39" t="s">
        <v>446</v>
      </c>
    </row>
    <row r="73" spans="1:21" ht="12.6" customHeight="1">
      <c r="A73" s="59" t="s">
        <v>34</v>
      </c>
      <c r="B73" s="59" t="s">
        <v>1080</v>
      </c>
      <c r="C73" s="27" t="s">
        <v>77</v>
      </c>
      <c r="D73" s="41" t="s">
        <v>80</v>
      </c>
      <c r="E73" s="27" t="s">
        <v>78</v>
      </c>
      <c r="F73" s="86" t="s">
        <v>168</v>
      </c>
      <c r="G73" s="55">
        <v>1.5</v>
      </c>
      <c r="H73" s="56">
        <v>0.92500000000000004</v>
      </c>
      <c r="I73" s="27">
        <v>143</v>
      </c>
      <c r="J73" s="27">
        <v>70</v>
      </c>
      <c r="K73" s="33">
        <v>67</v>
      </c>
      <c r="L73" s="27">
        <f>AVERAGE(819,777,789,750,820,842,810,789,868,792,815,810)</f>
        <v>806.75</v>
      </c>
      <c r="M73" s="24" t="s">
        <v>1092</v>
      </c>
      <c r="N73" s="26">
        <f>AVERAGE(899,1100,980,927,970,970,949,969,933,900,960)</f>
        <v>959.72727272727275</v>
      </c>
      <c r="O73" s="24" t="s">
        <v>1092</v>
      </c>
      <c r="P73" s="26">
        <v>880</v>
      </c>
      <c r="Q73" s="27" t="s">
        <v>862</v>
      </c>
      <c r="R73" s="33" t="s">
        <v>30</v>
      </c>
      <c r="S73" s="26">
        <v>1270</v>
      </c>
      <c r="T73" s="27" t="s">
        <v>550</v>
      </c>
      <c r="U73" s="33" t="s">
        <v>30</v>
      </c>
    </row>
    <row r="74" spans="1:21" s="37" customFormat="1" ht="12" customHeight="1">
      <c r="A74" s="121" t="s">
        <v>351</v>
      </c>
      <c r="B74" s="68"/>
      <c r="C74" s="28"/>
      <c r="D74" s="69"/>
      <c r="E74" s="28"/>
      <c r="F74" s="72"/>
      <c r="G74" s="70" t="s">
        <v>16</v>
      </c>
      <c r="H74" s="71" t="s">
        <v>16</v>
      </c>
      <c r="I74" s="28" t="s">
        <v>16</v>
      </c>
      <c r="J74" s="28" t="s">
        <v>16</v>
      </c>
      <c r="K74" s="28" t="s">
        <v>16</v>
      </c>
      <c r="L74" s="28" t="s">
        <v>16</v>
      </c>
      <c r="M74" s="28" t="s">
        <v>16</v>
      </c>
      <c r="N74" s="28" t="s">
        <v>16</v>
      </c>
      <c r="O74" s="28" t="s">
        <v>16</v>
      </c>
      <c r="P74" s="28" t="s">
        <v>16</v>
      </c>
      <c r="Q74" s="28" t="s">
        <v>16</v>
      </c>
      <c r="R74" s="28" t="s">
        <v>16</v>
      </c>
      <c r="S74" s="28" t="s">
        <v>16</v>
      </c>
      <c r="T74" s="28" t="s">
        <v>16</v>
      </c>
      <c r="U74" s="28" t="s">
        <v>16</v>
      </c>
    </row>
    <row r="75" spans="1:21" ht="12.6" customHeight="1">
      <c r="A75" s="57" t="s">
        <v>34</v>
      </c>
      <c r="B75" s="57" t="s">
        <v>305</v>
      </c>
      <c r="C75" s="16">
        <v>50</v>
      </c>
      <c r="D75" s="18">
        <v>1.4</v>
      </c>
      <c r="E75" s="16">
        <f>1.6*C75</f>
        <v>80</v>
      </c>
      <c r="F75" s="85" t="s">
        <v>303</v>
      </c>
      <c r="G75" s="58">
        <v>0.45</v>
      </c>
      <c r="H75" s="53">
        <v>0.31</v>
      </c>
      <c r="I75" s="16">
        <v>55</v>
      </c>
      <c r="J75" s="16">
        <v>80</v>
      </c>
      <c r="K75" s="83">
        <v>67</v>
      </c>
      <c r="L75" s="16">
        <f>AVERAGE(489,400,580,500,420,590,498,528,567,598)</f>
        <v>517</v>
      </c>
      <c r="M75" s="16" t="s">
        <v>881</v>
      </c>
      <c r="N75" s="25">
        <f>AVERAGE(750,660,750,760,680,650,650,650,639)</f>
        <v>687.66666666666663</v>
      </c>
      <c r="O75" s="120" t="s">
        <v>1092</v>
      </c>
      <c r="P75" s="16">
        <v>540</v>
      </c>
      <c r="Q75" s="16" t="s">
        <v>862</v>
      </c>
      <c r="R75" s="39" t="s">
        <v>30</v>
      </c>
      <c r="S75" s="81">
        <v>620</v>
      </c>
      <c r="T75" s="16" t="s">
        <v>862</v>
      </c>
      <c r="U75" s="39" t="s">
        <v>30</v>
      </c>
    </row>
    <row r="76" spans="1:21" ht="12.6" customHeight="1">
      <c r="A76" s="57" t="s">
        <v>34</v>
      </c>
      <c r="B76" s="57" t="s">
        <v>306</v>
      </c>
      <c r="C76" s="16">
        <v>85</v>
      </c>
      <c r="D76" s="18">
        <v>1.4</v>
      </c>
      <c r="E76" s="16">
        <f>1.6*C76</f>
        <v>136</v>
      </c>
      <c r="F76" s="85" t="s">
        <v>303</v>
      </c>
      <c r="G76" s="58">
        <v>0.83</v>
      </c>
      <c r="H76" s="53">
        <v>0.8</v>
      </c>
      <c r="I76" s="16">
        <v>80</v>
      </c>
      <c r="J76" s="16">
        <v>90</v>
      </c>
      <c r="K76" s="16">
        <v>82</v>
      </c>
      <c r="L76" s="25">
        <f>AVERAGE(685)</f>
        <v>685</v>
      </c>
      <c r="M76" s="31" t="s">
        <v>637</v>
      </c>
      <c r="N76" s="25">
        <f>AVERAGE(1450,1400,1300,1369,1480,1399,1580,1415,1191,1500)</f>
        <v>1408.4</v>
      </c>
      <c r="O76" s="31" t="s">
        <v>863</v>
      </c>
      <c r="P76" s="16">
        <v>1080</v>
      </c>
      <c r="Q76" s="16" t="s">
        <v>862</v>
      </c>
      <c r="R76" s="39" t="s">
        <v>30</v>
      </c>
      <c r="S76" s="81">
        <v>1304</v>
      </c>
      <c r="T76" s="16" t="s">
        <v>734</v>
      </c>
      <c r="U76" s="39" t="s">
        <v>33</v>
      </c>
    </row>
    <row r="77" spans="1:21" ht="12.6" customHeight="1">
      <c r="A77" s="57" t="s">
        <v>34</v>
      </c>
      <c r="B77" s="57" t="s">
        <v>307</v>
      </c>
      <c r="C77" s="16">
        <v>100</v>
      </c>
      <c r="D77" s="18">
        <v>2.8</v>
      </c>
      <c r="E77" s="16">
        <f>1.6*C77</f>
        <v>160</v>
      </c>
      <c r="F77" s="85" t="s">
        <v>303</v>
      </c>
      <c r="G77" s="58">
        <v>0.32</v>
      </c>
      <c r="H77" s="53">
        <v>0.96</v>
      </c>
      <c r="I77" s="16">
        <v>130</v>
      </c>
      <c r="J77" s="16">
        <v>86</v>
      </c>
      <c r="K77" s="16">
        <v>72</v>
      </c>
      <c r="L77" s="25">
        <f>AVERAGE(350,527,510,519,630,625,605)</f>
        <v>538</v>
      </c>
      <c r="M77" s="31" t="s">
        <v>1008</v>
      </c>
      <c r="N77" s="25">
        <f>AVERAGE(699,680,690,778,748,800,635,670)</f>
        <v>712.5</v>
      </c>
      <c r="O77" s="31" t="s">
        <v>1008</v>
      </c>
      <c r="P77" s="16">
        <v>500</v>
      </c>
      <c r="Q77" s="16" t="s">
        <v>862</v>
      </c>
      <c r="R77" s="39" t="s">
        <v>30</v>
      </c>
      <c r="S77" s="81">
        <v>800</v>
      </c>
      <c r="T77" s="16" t="s">
        <v>606</v>
      </c>
      <c r="U77" s="39" t="s">
        <v>32</v>
      </c>
    </row>
    <row r="78" spans="1:21" ht="12.6" customHeight="1">
      <c r="A78" s="59" t="s">
        <v>34</v>
      </c>
      <c r="B78" s="59" t="s">
        <v>309</v>
      </c>
      <c r="C78" s="27">
        <v>400</v>
      </c>
      <c r="D78" s="41">
        <v>4</v>
      </c>
      <c r="E78" s="27">
        <f>1.6*C78</f>
        <v>640</v>
      </c>
      <c r="F78" s="86" t="s">
        <v>303</v>
      </c>
      <c r="G78" s="55">
        <v>2.9</v>
      </c>
      <c r="H78" s="56">
        <v>3.58</v>
      </c>
      <c r="I78" s="27">
        <v>290</v>
      </c>
      <c r="J78" s="27">
        <v>120</v>
      </c>
      <c r="K78" s="27" t="s">
        <v>310</v>
      </c>
      <c r="L78" s="26">
        <f>AVERAGE(2450,2850,2899,2800)</f>
        <v>2749.75</v>
      </c>
      <c r="M78" s="33" t="s">
        <v>821</v>
      </c>
      <c r="N78" s="26">
        <f>AVERAGE(3500,3395,4639,3200)</f>
        <v>3683.5</v>
      </c>
      <c r="O78" s="33" t="s">
        <v>584</v>
      </c>
      <c r="P78" s="27" t="s">
        <v>16</v>
      </c>
      <c r="Q78" s="27" t="s">
        <v>16</v>
      </c>
      <c r="R78" s="33" t="s">
        <v>16</v>
      </c>
      <c r="S78" s="26" t="s">
        <v>16</v>
      </c>
      <c r="T78" s="27" t="s">
        <v>16</v>
      </c>
      <c r="U78" s="33" t="s">
        <v>16</v>
      </c>
    </row>
    <row r="79" spans="1:21" ht="12.6" customHeight="1">
      <c r="A79" s="57" t="s">
        <v>34</v>
      </c>
      <c r="B79" s="57" t="s">
        <v>308</v>
      </c>
      <c r="C79" s="16" t="s">
        <v>49</v>
      </c>
      <c r="D79" s="18">
        <v>2.8</v>
      </c>
      <c r="E79" s="16" t="s">
        <v>50</v>
      </c>
      <c r="F79" s="85" t="s">
        <v>303</v>
      </c>
      <c r="G79" s="58">
        <v>0.5</v>
      </c>
      <c r="H79" s="53">
        <v>0.9</v>
      </c>
      <c r="I79" s="16">
        <v>96</v>
      </c>
      <c r="J79" s="16">
        <v>102</v>
      </c>
      <c r="K79" s="83">
        <v>95</v>
      </c>
      <c r="L79" s="25">
        <f>AVERAGE(1000,1098,1190)</f>
        <v>1096</v>
      </c>
      <c r="M79" s="120" t="s">
        <v>1001</v>
      </c>
      <c r="N79" s="25">
        <f>AVERAGE(1425,1498,1390,1358,1434,1550,1469,1420)</f>
        <v>1443</v>
      </c>
      <c r="O79" s="120" t="s">
        <v>1001</v>
      </c>
      <c r="P79" s="16">
        <v>1295</v>
      </c>
      <c r="Q79" s="16" t="s">
        <v>862</v>
      </c>
      <c r="R79" s="39" t="s">
        <v>30</v>
      </c>
      <c r="S79" s="81" t="s">
        <v>16</v>
      </c>
      <c r="T79" s="16" t="s">
        <v>16</v>
      </c>
      <c r="U79" s="39" t="s">
        <v>16</v>
      </c>
    </row>
    <row r="80" spans="1:21" ht="12.6" customHeight="1">
      <c r="A80" s="57" t="s">
        <v>34</v>
      </c>
      <c r="B80" s="57" t="s">
        <v>554</v>
      </c>
      <c r="C80" s="16" t="s">
        <v>411</v>
      </c>
      <c r="D80" s="18" t="s">
        <v>75</v>
      </c>
      <c r="E80" s="16" t="s">
        <v>438</v>
      </c>
      <c r="F80" s="85" t="s">
        <v>303</v>
      </c>
      <c r="G80" s="58">
        <v>0.5</v>
      </c>
      <c r="H80" s="53">
        <v>0.56999999999999995</v>
      </c>
      <c r="I80" s="16">
        <v>71</v>
      </c>
      <c r="J80" s="16">
        <v>90</v>
      </c>
      <c r="K80" s="16">
        <v>82</v>
      </c>
      <c r="L80" s="25">
        <f>AVERAGE(365,410,360,322,332,359,371,355,355,356)</f>
        <v>358.5</v>
      </c>
      <c r="M80" s="31" t="s">
        <v>1092</v>
      </c>
      <c r="N80" s="25">
        <f>AVERAGE(499,499,449.5,450,500,504,718,511,499,540,500)</f>
        <v>515.40909090909088</v>
      </c>
      <c r="O80" s="120" t="s">
        <v>881</v>
      </c>
      <c r="P80" s="16">
        <v>487</v>
      </c>
      <c r="Q80" s="16" t="s">
        <v>881</v>
      </c>
      <c r="R80" s="39" t="s">
        <v>30</v>
      </c>
      <c r="S80" s="81">
        <v>550</v>
      </c>
      <c r="T80" s="16" t="s">
        <v>529</v>
      </c>
      <c r="U80" s="39" t="s">
        <v>33</v>
      </c>
    </row>
    <row r="81" spans="1:21" ht="12.6" customHeight="1">
      <c r="A81" s="59" t="s">
        <v>34</v>
      </c>
      <c r="B81" s="59" t="s">
        <v>489</v>
      </c>
      <c r="C81" s="27" t="s">
        <v>85</v>
      </c>
      <c r="D81" s="41" t="s">
        <v>86</v>
      </c>
      <c r="E81" s="27" t="s">
        <v>490</v>
      </c>
      <c r="F81" s="86" t="s">
        <v>303</v>
      </c>
      <c r="G81" s="55">
        <v>1.5</v>
      </c>
      <c r="H81" s="56">
        <v>1.07</v>
      </c>
      <c r="I81" s="27">
        <v>129</v>
      </c>
      <c r="J81" s="27">
        <v>88</v>
      </c>
      <c r="K81" s="27">
        <v>72</v>
      </c>
      <c r="L81" s="26">
        <f>AVERAGE(265,316,290,350,365,325,349,390,329,375,317)</f>
        <v>333.72727272727275</v>
      </c>
      <c r="M81" s="33" t="s">
        <v>1001</v>
      </c>
      <c r="N81" s="26">
        <f>AVERAGE(389,395,359,368)</f>
        <v>377.75</v>
      </c>
      <c r="O81" s="33" t="s">
        <v>1092</v>
      </c>
      <c r="P81" s="27">
        <v>250</v>
      </c>
      <c r="Q81" s="27" t="s">
        <v>1092</v>
      </c>
      <c r="R81" s="33" t="s">
        <v>1034</v>
      </c>
      <c r="S81" s="26">
        <v>450</v>
      </c>
      <c r="T81" s="27" t="s">
        <v>1092</v>
      </c>
      <c r="U81" s="33" t="s">
        <v>32</v>
      </c>
    </row>
    <row r="82" spans="1:21" s="37" customFormat="1" ht="12.6" customHeight="1">
      <c r="A82" s="121" t="s">
        <v>602</v>
      </c>
      <c r="B82" s="68"/>
      <c r="C82" s="28"/>
      <c r="D82" s="69"/>
      <c r="E82" s="28"/>
      <c r="F82" s="72"/>
      <c r="G82" s="70" t="s">
        <v>16</v>
      </c>
      <c r="H82" s="71" t="s">
        <v>16</v>
      </c>
      <c r="I82" s="28" t="s">
        <v>16</v>
      </c>
      <c r="J82" s="28" t="s">
        <v>16</v>
      </c>
      <c r="K82" s="28" t="s">
        <v>16</v>
      </c>
      <c r="L82" s="28" t="s">
        <v>16</v>
      </c>
      <c r="M82" s="28" t="s">
        <v>16</v>
      </c>
      <c r="N82" s="28" t="s">
        <v>16</v>
      </c>
      <c r="O82" s="28" t="s">
        <v>16</v>
      </c>
      <c r="P82" s="28" t="s">
        <v>16</v>
      </c>
      <c r="Q82" s="28" t="s">
        <v>16</v>
      </c>
      <c r="R82" s="28" t="s">
        <v>16</v>
      </c>
      <c r="S82" s="28" t="s">
        <v>16</v>
      </c>
      <c r="T82" s="28" t="s">
        <v>16</v>
      </c>
      <c r="U82" s="28" t="s">
        <v>16</v>
      </c>
    </row>
    <row r="83" spans="1:21" ht="12.6" customHeight="1">
      <c r="A83" s="143" t="s">
        <v>34</v>
      </c>
      <c r="B83" s="143" t="s">
        <v>1081</v>
      </c>
      <c r="C83" s="16">
        <v>50</v>
      </c>
      <c r="D83" s="18">
        <v>1.8</v>
      </c>
      <c r="E83" s="16">
        <f t="shared" ref="E83" si="12">1.6*C83</f>
        <v>80</v>
      </c>
      <c r="F83" s="85" t="s">
        <v>121</v>
      </c>
      <c r="G83" s="58"/>
      <c r="H83" s="53"/>
      <c r="I83" s="16"/>
      <c r="J83" s="16"/>
      <c r="K83" s="16"/>
      <c r="L83" s="25">
        <f>AVERAGE(425,398,417,485,445)</f>
        <v>434</v>
      </c>
      <c r="M83" s="31" t="s">
        <v>1008</v>
      </c>
      <c r="N83" s="25">
        <f>AVERAGE(449,500,499,500,571,589,530,525,455,480,446)</f>
        <v>504</v>
      </c>
      <c r="O83" s="31" t="s">
        <v>1008</v>
      </c>
      <c r="P83" s="16"/>
      <c r="Q83" s="16"/>
      <c r="R83" s="39"/>
      <c r="S83" s="81"/>
      <c r="T83" s="16"/>
      <c r="U83" s="39"/>
    </row>
    <row r="84" spans="1:21" ht="12.6" customHeight="1">
      <c r="A84" s="144" t="s">
        <v>34</v>
      </c>
      <c r="B84" s="144" t="s">
        <v>1082</v>
      </c>
      <c r="C84" s="27">
        <v>80</v>
      </c>
      <c r="D84" s="41">
        <v>2.8</v>
      </c>
      <c r="E84" s="27">
        <f t="shared" ref="E84" si="13">1.6*C84</f>
        <v>128</v>
      </c>
      <c r="F84" s="86" t="s">
        <v>121</v>
      </c>
      <c r="G84" s="55">
        <v>0.8</v>
      </c>
      <c r="H84" s="56">
        <v>0.32</v>
      </c>
      <c r="I84" s="27">
        <v>63</v>
      </c>
      <c r="J84" s="27"/>
      <c r="K84" s="27">
        <v>58</v>
      </c>
      <c r="L84" s="26">
        <f>AVERAGE(211,200)</f>
        <v>205.5</v>
      </c>
      <c r="M84" s="33" t="s">
        <v>1008</v>
      </c>
      <c r="N84" s="26">
        <f>AVERAGE(300,378,391)</f>
        <v>356.33333333333331</v>
      </c>
      <c r="O84" s="33" t="s">
        <v>1008</v>
      </c>
      <c r="P84" s="27"/>
      <c r="Q84" s="27"/>
      <c r="R84" s="33"/>
      <c r="S84" s="26"/>
      <c r="T84" s="27"/>
      <c r="U84" s="33"/>
    </row>
    <row r="85" spans="1:21" s="37" customFormat="1" ht="12.6" customHeight="1">
      <c r="A85" s="121" t="s">
        <v>360</v>
      </c>
      <c r="B85" s="68"/>
      <c r="C85" s="28"/>
      <c r="D85" s="69"/>
      <c r="E85" s="28"/>
      <c r="F85" s="72"/>
      <c r="G85" s="70" t="s">
        <v>16</v>
      </c>
      <c r="H85" s="71" t="s">
        <v>16</v>
      </c>
      <c r="I85" s="28" t="s">
        <v>16</v>
      </c>
      <c r="J85" s="28" t="s">
        <v>16</v>
      </c>
      <c r="K85" s="28" t="s">
        <v>16</v>
      </c>
      <c r="L85" s="28" t="s">
        <v>16</v>
      </c>
      <c r="M85" s="28" t="s">
        <v>16</v>
      </c>
      <c r="N85" s="28" t="s">
        <v>16</v>
      </c>
      <c r="O85" s="28" t="s">
        <v>16</v>
      </c>
      <c r="P85" s="28" t="s">
        <v>16</v>
      </c>
      <c r="Q85" s="28" t="s">
        <v>16</v>
      </c>
      <c r="R85" s="28" t="s">
        <v>16</v>
      </c>
      <c r="S85" s="28" t="s">
        <v>16</v>
      </c>
      <c r="T85" s="28" t="s">
        <v>16</v>
      </c>
      <c r="U85" s="28" t="s">
        <v>16</v>
      </c>
    </row>
    <row r="86" spans="1:21" ht="12.6" customHeight="1">
      <c r="A86" s="57" t="s">
        <v>235</v>
      </c>
      <c r="B86" s="57" t="s">
        <v>616</v>
      </c>
      <c r="C86" s="16">
        <v>20</v>
      </c>
      <c r="D86" s="18">
        <v>2.8</v>
      </c>
      <c r="E86" s="16">
        <f t="shared" ref="E86:E98" si="14">1.6*C86</f>
        <v>32</v>
      </c>
      <c r="F86" s="85" t="s">
        <v>121</v>
      </c>
      <c r="G86" s="58">
        <v>0.19</v>
      </c>
      <c r="H86" s="53">
        <v>0.31</v>
      </c>
      <c r="I86" s="16">
        <v>47</v>
      </c>
      <c r="J86" s="16">
        <v>74</v>
      </c>
      <c r="K86" s="83">
        <v>67</v>
      </c>
      <c r="L86" s="16">
        <f>AVERAGE(335,339,304,349,340,389,361,359,305,340)</f>
        <v>342.1</v>
      </c>
      <c r="M86" s="36" t="s">
        <v>1092</v>
      </c>
      <c r="N86" s="25">
        <f>AVERAGE(459,465,449,400,439,500,451,413,449,410)</f>
        <v>443.5</v>
      </c>
      <c r="O86" s="120" t="s">
        <v>1001</v>
      </c>
      <c r="P86" s="16" t="s">
        <v>16</v>
      </c>
      <c r="Q86" s="16" t="s">
        <v>16</v>
      </c>
      <c r="R86" s="39" t="s">
        <v>16</v>
      </c>
      <c r="S86" s="81" t="s">
        <v>16</v>
      </c>
      <c r="T86" s="16" t="s">
        <v>16</v>
      </c>
      <c r="U86" s="39" t="s">
        <v>16</v>
      </c>
    </row>
    <row r="87" spans="1:21" ht="12.6" customHeight="1">
      <c r="A87" s="57" t="s">
        <v>235</v>
      </c>
      <c r="B87" s="57" t="s">
        <v>617</v>
      </c>
      <c r="C87" s="16">
        <v>20</v>
      </c>
      <c r="D87" s="18">
        <v>4</v>
      </c>
      <c r="E87" s="16">
        <f t="shared" si="14"/>
        <v>32</v>
      </c>
      <c r="F87" s="85" t="s">
        <v>121</v>
      </c>
      <c r="G87" s="58">
        <v>0.15</v>
      </c>
      <c r="H87" s="53">
        <v>0.33700000000000002</v>
      </c>
      <c r="I87" s="16">
        <v>49</v>
      </c>
      <c r="J87" s="16">
        <v>83</v>
      </c>
      <c r="K87" s="31">
        <v>77</v>
      </c>
      <c r="L87" s="25">
        <f>AVERAGE(225,225,250,210,235,290,280)</f>
        <v>245</v>
      </c>
      <c r="M87" s="16" t="s">
        <v>1008</v>
      </c>
      <c r="N87" s="25">
        <f>AVERAGE(429,397,350,400,355,313,338,345,370,363)</f>
        <v>366</v>
      </c>
      <c r="O87" s="16" t="s">
        <v>793</v>
      </c>
      <c r="P87" s="25" t="s">
        <v>16</v>
      </c>
      <c r="Q87" s="16" t="s">
        <v>16</v>
      </c>
      <c r="R87" s="31" t="s">
        <v>16</v>
      </c>
      <c r="S87" s="25" t="s">
        <v>16</v>
      </c>
      <c r="T87" s="16" t="s">
        <v>16</v>
      </c>
      <c r="U87" s="31" t="s">
        <v>16</v>
      </c>
    </row>
    <row r="88" spans="1:21" ht="12.6" customHeight="1">
      <c r="A88" s="143" t="s">
        <v>235</v>
      </c>
      <c r="B88" s="143" t="s">
        <v>1032</v>
      </c>
      <c r="C88" s="16">
        <v>28</v>
      </c>
      <c r="D88" s="18">
        <v>2.8</v>
      </c>
      <c r="E88" s="16">
        <f t="shared" si="14"/>
        <v>44.800000000000004</v>
      </c>
      <c r="F88" s="85" t="s">
        <v>121</v>
      </c>
      <c r="G88" s="58">
        <v>0.3</v>
      </c>
      <c r="H88" s="53" t="s">
        <v>16</v>
      </c>
      <c r="I88" s="16">
        <v>60</v>
      </c>
      <c r="J88" s="262" t="s">
        <v>16</v>
      </c>
      <c r="K88" s="31">
        <v>49</v>
      </c>
      <c r="L88" s="25">
        <f>AVERAGE(125,82,100)</f>
        <v>102.33333333333333</v>
      </c>
      <c r="M88" s="15" t="s">
        <v>813</v>
      </c>
      <c r="N88" s="25">
        <f>AVERAGE(175,188,133)</f>
        <v>165.33333333333334</v>
      </c>
      <c r="O88" s="16" t="s">
        <v>765</v>
      </c>
      <c r="P88" s="25">
        <f>85*CA.US</f>
        <v>64.599999999999994</v>
      </c>
      <c r="Q88" s="16" t="s">
        <v>1092</v>
      </c>
      <c r="R88" s="31" t="s">
        <v>35</v>
      </c>
      <c r="S88" s="25" t="s">
        <v>16</v>
      </c>
      <c r="T88" s="16" t="s">
        <v>16</v>
      </c>
      <c r="U88" s="31" t="s">
        <v>16</v>
      </c>
    </row>
    <row r="89" spans="1:21" ht="12.6" customHeight="1">
      <c r="A89" s="57" t="s">
        <v>235</v>
      </c>
      <c r="B89" s="57" t="s">
        <v>618</v>
      </c>
      <c r="C89" s="16">
        <v>35</v>
      </c>
      <c r="D89" s="18">
        <v>2.4</v>
      </c>
      <c r="E89" s="16">
        <f t="shared" si="14"/>
        <v>56</v>
      </c>
      <c r="F89" s="85" t="s">
        <v>121</v>
      </c>
      <c r="G89" s="58">
        <v>0.2</v>
      </c>
      <c r="H89" s="53">
        <v>0.25</v>
      </c>
      <c r="I89" s="16">
        <v>52</v>
      </c>
      <c r="J89" s="16">
        <v>64</v>
      </c>
      <c r="K89" s="31">
        <v>49</v>
      </c>
      <c r="L89" s="16">
        <f>AVERAGE(160,215,157,179,144,155,160,200,201,215,218)</f>
        <v>182.18181818181819</v>
      </c>
      <c r="M89" s="16" t="s">
        <v>1092</v>
      </c>
      <c r="N89" s="25">
        <f>AVERAGE(265,269,269,248,280,270,275,269,249)</f>
        <v>266</v>
      </c>
      <c r="O89" s="16" t="s">
        <v>1092</v>
      </c>
      <c r="P89" s="25" t="s">
        <v>16</v>
      </c>
      <c r="Q89" s="16" t="s">
        <v>16</v>
      </c>
      <c r="R89" s="31" t="s">
        <v>16</v>
      </c>
      <c r="S89" s="25" t="s">
        <v>16</v>
      </c>
      <c r="T89" s="16" t="s">
        <v>16</v>
      </c>
      <c r="U89" s="31" t="s">
        <v>16</v>
      </c>
    </row>
    <row r="90" spans="1:21" ht="12.6" customHeight="1">
      <c r="A90" s="143" t="s">
        <v>235</v>
      </c>
      <c r="B90" s="143" t="s">
        <v>1005</v>
      </c>
      <c r="C90" s="16">
        <v>35</v>
      </c>
      <c r="D90" s="18">
        <v>2.8</v>
      </c>
      <c r="E90" s="16">
        <f t="shared" si="14"/>
        <v>56</v>
      </c>
      <c r="F90" s="85" t="s">
        <v>121</v>
      </c>
      <c r="G90" s="58">
        <v>0.18</v>
      </c>
      <c r="H90" s="53">
        <v>0.22600000000000001</v>
      </c>
      <c r="I90" s="16" t="s">
        <v>16</v>
      </c>
      <c r="J90" s="16" t="s">
        <v>16</v>
      </c>
      <c r="K90" s="31">
        <v>49</v>
      </c>
      <c r="L90" s="25">
        <f>AVERAGE(170)</f>
        <v>170</v>
      </c>
      <c r="M90" s="15" t="s">
        <v>1008</v>
      </c>
      <c r="N90" s="25">
        <f>AVERAGE(0)</f>
        <v>0</v>
      </c>
      <c r="O90" s="16" t="s">
        <v>16</v>
      </c>
      <c r="P90" s="25" t="s">
        <v>16</v>
      </c>
      <c r="Q90" s="16" t="s">
        <v>16</v>
      </c>
      <c r="R90" s="31" t="s">
        <v>16</v>
      </c>
      <c r="S90" s="25" t="s">
        <v>16</v>
      </c>
      <c r="T90" s="16" t="s">
        <v>16</v>
      </c>
      <c r="U90" s="31" t="s">
        <v>16</v>
      </c>
    </row>
    <row r="91" spans="1:21" ht="12.6" customHeight="1">
      <c r="A91" s="57" t="s">
        <v>235</v>
      </c>
      <c r="B91" s="57" t="s">
        <v>488</v>
      </c>
      <c r="C91" s="16">
        <v>50</v>
      </c>
      <c r="D91" s="18">
        <v>1.4</v>
      </c>
      <c r="E91" s="16">
        <f>1.6*C91</f>
        <v>80</v>
      </c>
      <c r="F91" s="85" t="s">
        <v>121</v>
      </c>
      <c r="G91" s="58" t="s">
        <v>16</v>
      </c>
      <c r="H91" s="53" t="s">
        <v>16</v>
      </c>
      <c r="I91" s="16" t="s">
        <v>16</v>
      </c>
      <c r="J91" s="16" t="s">
        <v>16</v>
      </c>
      <c r="K91" s="31" t="s">
        <v>16</v>
      </c>
      <c r="L91" s="25">
        <f>AVERAGE(0)</f>
        <v>0</v>
      </c>
      <c r="M91" s="31" t="s">
        <v>16</v>
      </c>
      <c r="N91" s="25">
        <f>AVERAGE(390,418)</f>
        <v>404</v>
      </c>
      <c r="O91" s="16" t="s">
        <v>734</v>
      </c>
      <c r="P91" s="25" t="s">
        <v>16</v>
      </c>
      <c r="Q91" s="16" t="s">
        <v>16</v>
      </c>
      <c r="R91" s="31" t="s">
        <v>16</v>
      </c>
      <c r="S91" s="25" t="s">
        <v>16</v>
      </c>
      <c r="T91" s="16" t="s">
        <v>16</v>
      </c>
      <c r="U91" s="31" t="s">
        <v>16</v>
      </c>
    </row>
    <row r="92" spans="1:21" ht="12.6" customHeight="1">
      <c r="A92" s="213" t="s">
        <v>235</v>
      </c>
      <c r="B92" s="213" t="s">
        <v>447</v>
      </c>
      <c r="C92" s="141">
        <v>50</v>
      </c>
      <c r="D92" s="142">
        <v>1.8</v>
      </c>
      <c r="E92" s="141">
        <f t="shared" si="14"/>
        <v>80</v>
      </c>
      <c r="F92" s="202" t="s">
        <v>121</v>
      </c>
      <c r="G92" s="215">
        <v>0.33</v>
      </c>
      <c r="H92" s="216">
        <v>0.19500000000000001</v>
      </c>
      <c r="I92" s="141">
        <v>39</v>
      </c>
      <c r="J92" s="141">
        <v>84</v>
      </c>
      <c r="K92" s="186">
        <v>49</v>
      </c>
      <c r="L92" s="203">
        <f>AVERAGE(129,111,108,128,115,120,129,120,129,104,123,135,103)</f>
        <v>119.53846153846153</v>
      </c>
      <c r="M92" s="186" t="s">
        <v>1092</v>
      </c>
      <c r="N92" s="203">
        <f>AVERAGE(190,159,149,131,160,200,175,175,200,169,149,159)</f>
        <v>168</v>
      </c>
      <c r="O92" s="141" t="s">
        <v>1092</v>
      </c>
      <c r="P92" s="203" t="s">
        <v>16</v>
      </c>
      <c r="Q92" s="141" t="s">
        <v>16</v>
      </c>
      <c r="R92" s="186" t="s">
        <v>16</v>
      </c>
      <c r="S92" s="203" t="s">
        <v>16</v>
      </c>
      <c r="T92" s="141" t="s">
        <v>16</v>
      </c>
      <c r="U92" s="186" t="s">
        <v>16</v>
      </c>
    </row>
    <row r="93" spans="1:21" ht="12.6" customHeight="1">
      <c r="A93" s="213" t="s">
        <v>235</v>
      </c>
      <c r="B93" s="213" t="s">
        <v>626</v>
      </c>
      <c r="C93" s="142">
        <v>75</v>
      </c>
      <c r="D93" s="142">
        <v>1.5</v>
      </c>
      <c r="E93" s="141">
        <f t="shared" si="14"/>
        <v>120</v>
      </c>
      <c r="F93" s="214" t="s">
        <v>121</v>
      </c>
      <c r="G93" s="215">
        <v>0.82</v>
      </c>
      <c r="H93" s="216">
        <v>0.5</v>
      </c>
      <c r="I93" s="141">
        <v>76</v>
      </c>
      <c r="J93" s="141" t="s">
        <v>16</v>
      </c>
      <c r="K93" s="142">
        <v>55</v>
      </c>
      <c r="L93" s="203">
        <f>AVERAGE(871,860,865,865,885,815,804,760,938,999)</f>
        <v>866.2</v>
      </c>
      <c r="M93" s="160" t="s">
        <v>1092</v>
      </c>
      <c r="N93" s="203">
        <f>AVERAGE(1000,928,971)</f>
        <v>966.33333333333337</v>
      </c>
      <c r="O93" s="142" t="s">
        <v>1008</v>
      </c>
      <c r="P93" s="203" t="s">
        <v>16</v>
      </c>
      <c r="Q93" s="160" t="s">
        <v>16</v>
      </c>
      <c r="R93" s="141" t="s">
        <v>16</v>
      </c>
      <c r="S93" s="203" t="s">
        <v>16</v>
      </c>
      <c r="T93" s="160" t="s">
        <v>16</v>
      </c>
      <c r="U93" s="186" t="s">
        <v>16</v>
      </c>
    </row>
    <row r="94" spans="1:21" ht="12.6" customHeight="1">
      <c r="A94" s="213" t="s">
        <v>235</v>
      </c>
      <c r="B94" s="213" t="s">
        <v>412</v>
      </c>
      <c r="C94" s="141">
        <v>80</v>
      </c>
      <c r="D94" s="142">
        <v>1.8</v>
      </c>
      <c r="E94" s="141">
        <f t="shared" si="14"/>
        <v>128</v>
      </c>
      <c r="F94" s="202" t="s">
        <v>121</v>
      </c>
      <c r="G94" s="215">
        <v>0.35</v>
      </c>
      <c r="H94" s="216">
        <v>0.308</v>
      </c>
      <c r="I94" s="141">
        <v>55</v>
      </c>
      <c r="J94" s="287">
        <v>60</v>
      </c>
      <c r="K94" s="186">
        <v>58</v>
      </c>
      <c r="L94" s="203">
        <f>AVERAGE(400,381)</f>
        <v>390.5</v>
      </c>
      <c r="M94" s="186" t="s">
        <v>881</v>
      </c>
      <c r="N94" s="203">
        <f>AVERAGE(490)</f>
        <v>490</v>
      </c>
      <c r="O94" s="186" t="s">
        <v>1092</v>
      </c>
      <c r="P94" s="203" t="s">
        <v>16</v>
      </c>
      <c r="Q94" s="141" t="s">
        <v>16</v>
      </c>
      <c r="R94" s="186" t="s">
        <v>16</v>
      </c>
      <c r="S94" s="203" t="s">
        <v>16</v>
      </c>
      <c r="T94" s="141" t="s">
        <v>16</v>
      </c>
      <c r="U94" s="186" t="s">
        <v>16</v>
      </c>
    </row>
    <row r="95" spans="1:21" ht="12.6" customHeight="1">
      <c r="A95" s="213" t="s">
        <v>235</v>
      </c>
      <c r="B95" s="213" t="s">
        <v>615</v>
      </c>
      <c r="C95" s="141">
        <v>135</v>
      </c>
      <c r="D95" s="142">
        <v>3.5</v>
      </c>
      <c r="E95" s="141">
        <f t="shared" si="14"/>
        <v>216</v>
      </c>
      <c r="F95" s="202" t="s">
        <v>121</v>
      </c>
      <c r="G95" s="215">
        <v>1</v>
      </c>
      <c r="H95" s="216">
        <v>0.375</v>
      </c>
      <c r="I95" s="141">
        <v>82</v>
      </c>
      <c r="J95" s="141" t="s">
        <v>16</v>
      </c>
      <c r="K95" s="186">
        <v>49</v>
      </c>
      <c r="L95" s="141">
        <f>AVERAGE(125,134,136,139,139,144,113,115,118,133,124)</f>
        <v>129.09090909090909</v>
      </c>
      <c r="M95" s="141" t="s">
        <v>1008</v>
      </c>
      <c r="N95" s="203">
        <f>AVERAGE(169,158,155,195,190,199,239,219,195,153,169)</f>
        <v>185.54545454545453</v>
      </c>
      <c r="O95" s="141" t="s">
        <v>1008</v>
      </c>
      <c r="P95" s="203">
        <v>75</v>
      </c>
      <c r="Q95" s="141" t="s">
        <v>862</v>
      </c>
      <c r="R95" s="186" t="s">
        <v>28</v>
      </c>
      <c r="S95" s="203" t="s">
        <v>16</v>
      </c>
      <c r="T95" s="141" t="s">
        <v>16</v>
      </c>
      <c r="U95" s="186" t="s">
        <v>16</v>
      </c>
    </row>
    <row r="96" spans="1:21" ht="12.6" customHeight="1">
      <c r="A96" s="213" t="s">
        <v>235</v>
      </c>
      <c r="B96" s="213" t="s">
        <v>620</v>
      </c>
      <c r="C96" s="141">
        <v>180</v>
      </c>
      <c r="D96" s="142">
        <v>2.8</v>
      </c>
      <c r="E96" s="141">
        <f t="shared" si="14"/>
        <v>288</v>
      </c>
      <c r="F96" s="202" t="s">
        <v>121</v>
      </c>
      <c r="G96" s="215">
        <v>2.2000000000000002</v>
      </c>
      <c r="H96" s="216">
        <v>1.1000000000000001</v>
      </c>
      <c r="I96" s="141">
        <v>146</v>
      </c>
      <c r="J96" s="141">
        <v>100</v>
      </c>
      <c r="K96" s="186">
        <v>86</v>
      </c>
      <c r="L96" s="141">
        <f>AVERAGE(259,225,125,260,200,250,222,245,199,185,262)</f>
        <v>221.09090909090909</v>
      </c>
      <c r="M96" s="141" t="s">
        <v>862</v>
      </c>
      <c r="N96" s="203">
        <f>AVERAGE(310,355,316,356,300,310,288,277)</f>
        <v>314</v>
      </c>
      <c r="O96" s="141" t="s">
        <v>881</v>
      </c>
      <c r="P96" s="203">
        <v>425</v>
      </c>
      <c r="Q96" s="141" t="s">
        <v>881</v>
      </c>
      <c r="R96" s="186" t="s">
        <v>28</v>
      </c>
      <c r="S96" s="203" t="s">
        <v>16</v>
      </c>
      <c r="T96" s="141" t="s">
        <v>16</v>
      </c>
      <c r="U96" s="186" t="s">
        <v>16</v>
      </c>
    </row>
    <row r="97" spans="1:22" ht="12.6" customHeight="1">
      <c r="A97" s="213" t="s">
        <v>235</v>
      </c>
      <c r="B97" s="213" t="s">
        <v>619</v>
      </c>
      <c r="C97" s="141">
        <v>200</v>
      </c>
      <c r="D97" s="142">
        <v>2.8</v>
      </c>
      <c r="E97" s="141">
        <f>1.6*C97</f>
        <v>320</v>
      </c>
      <c r="F97" s="202" t="s">
        <v>121</v>
      </c>
      <c r="G97" s="215">
        <v>2.2000000000000002</v>
      </c>
      <c r="H97" s="216">
        <v>1.2</v>
      </c>
      <c r="I97" s="141">
        <v>146</v>
      </c>
      <c r="J97" s="141" t="s">
        <v>16</v>
      </c>
      <c r="K97" s="186">
        <v>77</v>
      </c>
      <c r="L97" s="141">
        <f>AVERAGE(250,210,288,250,260,203)</f>
        <v>243.5</v>
      </c>
      <c r="M97" s="141" t="s">
        <v>1092</v>
      </c>
      <c r="N97" s="203">
        <f>AVERAGE(399,379,345,419,489,409,399,320,328)</f>
        <v>387.44444444444446</v>
      </c>
      <c r="O97" s="141" t="s">
        <v>1092</v>
      </c>
      <c r="P97" s="203">
        <v>350</v>
      </c>
      <c r="Q97" s="141" t="s">
        <v>637</v>
      </c>
      <c r="R97" s="186" t="s">
        <v>35</v>
      </c>
      <c r="S97" s="203" t="s">
        <v>16</v>
      </c>
      <c r="T97" s="141" t="s">
        <v>16</v>
      </c>
      <c r="U97" s="186" t="s">
        <v>16</v>
      </c>
    </row>
    <row r="98" spans="1:22" ht="12.6" customHeight="1">
      <c r="A98" s="205" t="s">
        <v>235</v>
      </c>
      <c r="B98" s="205" t="s">
        <v>865</v>
      </c>
      <c r="C98" s="172">
        <v>300</v>
      </c>
      <c r="D98" s="177">
        <v>4</v>
      </c>
      <c r="E98" s="188">
        <f t="shared" si="14"/>
        <v>480</v>
      </c>
      <c r="F98" s="196" t="s">
        <v>121</v>
      </c>
      <c r="G98" s="195">
        <v>4</v>
      </c>
      <c r="H98" s="176">
        <v>0.20699999999999999</v>
      </c>
      <c r="I98" s="172">
        <v>224</v>
      </c>
      <c r="J98" s="172" t="s">
        <v>16</v>
      </c>
      <c r="K98" s="188">
        <v>86</v>
      </c>
      <c r="L98" s="197">
        <f>AVERAGE(195,236,200)</f>
        <v>210.33333333333334</v>
      </c>
      <c r="M98" s="172" t="s">
        <v>881</v>
      </c>
      <c r="N98" s="197">
        <f>AVERAGE(399)</f>
        <v>399</v>
      </c>
      <c r="O98" s="172" t="s">
        <v>881</v>
      </c>
      <c r="P98" s="197">
        <v>450</v>
      </c>
      <c r="Q98" s="172" t="s">
        <v>637</v>
      </c>
      <c r="R98" s="188" t="s">
        <v>35</v>
      </c>
      <c r="S98" s="197" t="s">
        <v>16</v>
      </c>
      <c r="T98" s="172" t="s">
        <v>16</v>
      </c>
      <c r="U98" s="188" t="s">
        <v>16</v>
      </c>
      <c r="V98" s="16"/>
    </row>
    <row r="99" spans="1:22" s="37" customFormat="1" ht="12.6" customHeight="1">
      <c r="A99" s="243" t="s">
        <v>352</v>
      </c>
      <c r="B99" s="244"/>
      <c r="C99" s="179"/>
      <c r="D99" s="245"/>
      <c r="E99" s="179"/>
      <c r="F99" s="246"/>
      <c r="G99" s="247" t="s">
        <v>16</v>
      </c>
      <c r="H99" s="248" t="s">
        <v>16</v>
      </c>
      <c r="I99" s="179" t="s">
        <v>16</v>
      </c>
      <c r="J99" s="179" t="s">
        <v>16</v>
      </c>
      <c r="K99" s="179" t="s">
        <v>16</v>
      </c>
      <c r="L99" s="179" t="s">
        <v>16</v>
      </c>
      <c r="M99" s="179" t="s">
        <v>16</v>
      </c>
      <c r="N99" s="179" t="s">
        <v>16</v>
      </c>
      <c r="O99" s="179" t="s">
        <v>16</v>
      </c>
      <c r="P99" s="179" t="s">
        <v>16</v>
      </c>
      <c r="Q99" s="179" t="s">
        <v>16</v>
      </c>
      <c r="R99" s="179" t="s">
        <v>16</v>
      </c>
      <c r="S99" s="179" t="s">
        <v>16</v>
      </c>
      <c r="T99" s="179" t="s">
        <v>16</v>
      </c>
      <c r="U99" s="179" t="s">
        <v>16</v>
      </c>
    </row>
    <row r="100" spans="1:22" s="37" customFormat="1" ht="12" customHeight="1">
      <c r="A100" s="161" t="s">
        <v>141</v>
      </c>
      <c r="B100" s="161" t="s">
        <v>295</v>
      </c>
      <c r="C100" s="141">
        <v>20</v>
      </c>
      <c r="D100" s="183">
        <v>3.5</v>
      </c>
      <c r="E100" s="141">
        <f>1.6*C100</f>
        <v>32</v>
      </c>
      <c r="F100" s="288" t="s">
        <v>31</v>
      </c>
      <c r="G100" s="215">
        <v>0.2</v>
      </c>
      <c r="H100" s="216">
        <v>0.2</v>
      </c>
      <c r="I100" s="141">
        <v>28.8</v>
      </c>
      <c r="J100" s="141">
        <v>63</v>
      </c>
      <c r="K100" s="204">
        <v>52</v>
      </c>
      <c r="L100" s="141">
        <f>AVERAGE(309,330,318,339,296,317,315,293,365,295)</f>
        <v>317.7</v>
      </c>
      <c r="M100" s="204" t="s">
        <v>1092</v>
      </c>
      <c r="N100" s="203">
        <f>AVERAGE(398,415,435,529,372,395,439,406,405,489,406)</f>
        <v>426.27272727272725</v>
      </c>
      <c r="O100" s="142" t="s">
        <v>1008</v>
      </c>
      <c r="P100" s="203">
        <v>420</v>
      </c>
      <c r="Q100" s="142" t="s">
        <v>881</v>
      </c>
      <c r="R100" s="204" t="s">
        <v>32</v>
      </c>
      <c r="S100" s="220">
        <v>500</v>
      </c>
      <c r="T100" s="142" t="s">
        <v>765</v>
      </c>
      <c r="U100" s="204" t="s">
        <v>33</v>
      </c>
      <c r="V100" s="16"/>
    </row>
    <row r="101" spans="1:22" s="37" customFormat="1" ht="12" customHeight="1">
      <c r="A101" s="161" t="s">
        <v>141</v>
      </c>
      <c r="B101" s="161" t="s">
        <v>585</v>
      </c>
      <c r="C101" s="141">
        <v>28</v>
      </c>
      <c r="D101" s="183">
        <v>2.8</v>
      </c>
      <c r="E101" s="141">
        <f t="shared" ref="E101:E109" si="15">1.6*C101</f>
        <v>44.800000000000004</v>
      </c>
      <c r="F101" s="288" t="s">
        <v>31</v>
      </c>
      <c r="G101" s="215">
        <v>0.22</v>
      </c>
      <c r="H101" s="216">
        <v>0.23</v>
      </c>
      <c r="I101" s="141">
        <v>27</v>
      </c>
      <c r="J101" s="141">
        <v>63.6</v>
      </c>
      <c r="K101" s="204">
        <v>52</v>
      </c>
      <c r="L101" s="203">
        <f>AVERAGE(266,210)</f>
        <v>238</v>
      </c>
      <c r="M101" s="280" t="s">
        <v>1008</v>
      </c>
      <c r="N101" s="203">
        <f>AVERAGE(319,349,350)</f>
        <v>339.33333333333331</v>
      </c>
      <c r="O101" s="142" t="s">
        <v>1008</v>
      </c>
      <c r="P101" s="203" t="s">
        <v>16</v>
      </c>
      <c r="Q101" s="142" t="s">
        <v>16</v>
      </c>
      <c r="R101" s="186" t="s">
        <v>16</v>
      </c>
      <c r="S101" s="289">
        <v>480</v>
      </c>
      <c r="T101" s="142" t="s">
        <v>1008</v>
      </c>
      <c r="U101" s="186" t="s">
        <v>542</v>
      </c>
      <c r="V101" s="16"/>
    </row>
    <row r="102" spans="1:22" s="37" customFormat="1" ht="12.6" customHeight="1">
      <c r="A102" s="161" t="s">
        <v>141</v>
      </c>
      <c r="B102" s="161" t="s">
        <v>296</v>
      </c>
      <c r="C102" s="141">
        <v>35</v>
      </c>
      <c r="D102" s="142">
        <v>2.8</v>
      </c>
      <c r="E102" s="141">
        <f t="shared" si="15"/>
        <v>56</v>
      </c>
      <c r="F102" s="290" t="s">
        <v>31</v>
      </c>
      <c r="G102" s="215">
        <v>0.4</v>
      </c>
      <c r="H102" s="216">
        <v>0.21</v>
      </c>
      <c r="I102" s="141">
        <v>53</v>
      </c>
      <c r="J102" s="141" t="s">
        <v>16</v>
      </c>
      <c r="K102" s="204">
        <v>49</v>
      </c>
      <c r="L102" s="203">
        <f>AVERAGE(205,199,185,227)</f>
        <v>204</v>
      </c>
      <c r="M102" s="280" t="s">
        <v>1001</v>
      </c>
      <c r="N102" s="203">
        <f>AVERAGE(398)</f>
        <v>398</v>
      </c>
      <c r="O102" s="160" t="s">
        <v>765</v>
      </c>
      <c r="P102" s="203" t="s">
        <v>16</v>
      </c>
      <c r="Q102" s="160" t="s">
        <v>16</v>
      </c>
      <c r="R102" s="204" t="s">
        <v>16</v>
      </c>
      <c r="S102" s="220" t="s">
        <v>16</v>
      </c>
      <c r="T102" s="160" t="s">
        <v>16</v>
      </c>
      <c r="U102" s="204" t="s">
        <v>16</v>
      </c>
      <c r="V102" s="16"/>
    </row>
    <row r="103" spans="1:22" s="37" customFormat="1" ht="12.6" customHeight="1">
      <c r="A103" s="161" t="s">
        <v>141</v>
      </c>
      <c r="B103" s="161" t="s">
        <v>297</v>
      </c>
      <c r="C103" s="141">
        <v>40</v>
      </c>
      <c r="D103" s="141">
        <v>2</v>
      </c>
      <c r="E103" s="141">
        <f>1.6*C103</f>
        <v>64</v>
      </c>
      <c r="F103" s="290" t="s">
        <v>31</v>
      </c>
      <c r="G103" s="215">
        <v>0.38</v>
      </c>
      <c r="H103" s="216">
        <v>0.2</v>
      </c>
      <c r="I103" s="141">
        <v>24.5</v>
      </c>
      <c r="J103" s="141">
        <v>63</v>
      </c>
      <c r="K103" s="204">
        <v>52</v>
      </c>
      <c r="L103" s="203">
        <f>AVERAGE(303,319,319,335,323,249,315,330,251,320,300)</f>
        <v>305.81818181818181</v>
      </c>
      <c r="M103" s="280" t="s">
        <v>1092</v>
      </c>
      <c r="N103" s="141">
        <f>AVERAGE(378,399,360,379,380,368,362,380,389,395,388)</f>
        <v>379.81818181818181</v>
      </c>
      <c r="O103" s="160" t="s">
        <v>1008</v>
      </c>
      <c r="P103" s="203">
        <v>260</v>
      </c>
      <c r="Q103" s="160" t="s">
        <v>471</v>
      </c>
      <c r="R103" s="204" t="s">
        <v>32</v>
      </c>
      <c r="S103" s="203">
        <f>395*CA.US</f>
        <v>300.2</v>
      </c>
      <c r="T103" s="160" t="s">
        <v>1092</v>
      </c>
      <c r="U103" s="204" t="s">
        <v>1083</v>
      </c>
      <c r="V103" s="16"/>
    </row>
    <row r="104" spans="1:22" s="37" customFormat="1" ht="12.6" customHeight="1">
      <c r="A104" s="213" t="s">
        <v>141</v>
      </c>
      <c r="B104" s="213" t="s">
        <v>298</v>
      </c>
      <c r="C104" s="141">
        <v>50</v>
      </c>
      <c r="D104" s="142">
        <v>1.8</v>
      </c>
      <c r="E104" s="141">
        <f t="shared" si="15"/>
        <v>80</v>
      </c>
      <c r="F104" s="214" t="s">
        <v>31</v>
      </c>
      <c r="G104" s="215">
        <v>0.45</v>
      </c>
      <c r="H104" s="216">
        <v>0.188</v>
      </c>
      <c r="I104" s="141">
        <v>38</v>
      </c>
      <c r="J104" s="141" t="s">
        <v>16</v>
      </c>
      <c r="K104" s="186">
        <v>49</v>
      </c>
      <c r="L104" s="203">
        <f>AVERAGE(121,130,121,158,145,150,134,173,138,149,145)</f>
        <v>142.18181818181819</v>
      </c>
      <c r="M104" s="186" t="s">
        <v>1001</v>
      </c>
      <c r="N104" s="141">
        <f>AVERAGE(179,329,358,199,203,261,215,265,250,280)</f>
        <v>253.9</v>
      </c>
      <c r="O104" s="141" t="s">
        <v>1092</v>
      </c>
      <c r="P104" s="203" t="s">
        <v>16</v>
      </c>
      <c r="Q104" s="141" t="s">
        <v>16</v>
      </c>
      <c r="R104" s="280" t="s">
        <v>16</v>
      </c>
      <c r="S104" s="291" t="s">
        <v>16</v>
      </c>
      <c r="T104" s="141" t="s">
        <v>16</v>
      </c>
      <c r="U104" s="280" t="s">
        <v>16</v>
      </c>
    </row>
    <row r="105" spans="1:22" ht="12.6" customHeight="1">
      <c r="A105" s="193" t="s">
        <v>141</v>
      </c>
      <c r="B105" s="205" t="s">
        <v>299</v>
      </c>
      <c r="C105" s="172">
        <v>58</v>
      </c>
      <c r="D105" s="211">
        <v>1.4</v>
      </c>
      <c r="E105" s="172">
        <f t="shared" si="15"/>
        <v>92.800000000000011</v>
      </c>
      <c r="F105" s="196" t="s">
        <v>31</v>
      </c>
      <c r="G105" s="195">
        <v>0.45</v>
      </c>
      <c r="H105" s="176">
        <v>0.32</v>
      </c>
      <c r="I105" s="172">
        <v>47.5</v>
      </c>
      <c r="J105" s="172">
        <v>64.400000000000006</v>
      </c>
      <c r="K105" s="188">
        <v>58</v>
      </c>
      <c r="L105" s="172">
        <f>AVERAGE(315,350,365,328,375,281,355,378,339,327,365)</f>
        <v>343.45454545454544</v>
      </c>
      <c r="M105" s="279" t="s">
        <v>1092</v>
      </c>
      <c r="N105" s="172">
        <f>AVERAGE(425,457,455,475,410,370,398,396,419,385)</f>
        <v>419</v>
      </c>
      <c r="O105" s="211" t="s">
        <v>1092</v>
      </c>
      <c r="P105" s="197" t="s">
        <v>16</v>
      </c>
      <c r="Q105" s="172" t="s">
        <v>16</v>
      </c>
      <c r="R105" s="188" t="s">
        <v>16</v>
      </c>
      <c r="S105" s="286">
        <f>530*CA.US</f>
        <v>402.8</v>
      </c>
      <c r="T105" s="172" t="s">
        <v>492</v>
      </c>
      <c r="U105" s="188" t="s">
        <v>361</v>
      </c>
      <c r="V105" s="16"/>
    </row>
    <row r="106" spans="1:22" ht="12.6" customHeight="1">
      <c r="A106" s="213" t="s">
        <v>141</v>
      </c>
      <c r="B106" s="213" t="s">
        <v>300</v>
      </c>
      <c r="C106" s="141">
        <v>75</v>
      </c>
      <c r="D106" s="142">
        <v>2.5</v>
      </c>
      <c r="E106" s="141">
        <f t="shared" si="15"/>
        <v>120</v>
      </c>
      <c r="F106" s="202" t="s">
        <v>31</v>
      </c>
      <c r="G106" s="215">
        <v>0.7</v>
      </c>
      <c r="H106" s="216">
        <v>0.25</v>
      </c>
      <c r="I106" s="141">
        <v>40.200000000000003</v>
      </c>
      <c r="J106" s="141">
        <v>63.5</v>
      </c>
      <c r="K106" s="186">
        <v>49</v>
      </c>
      <c r="L106" s="141">
        <f>AVERAGE(423,399,327,340)</f>
        <v>372.25</v>
      </c>
      <c r="M106" s="141" t="s">
        <v>1001</v>
      </c>
      <c r="N106" s="203">
        <f>AVERAGE(469,477,450,450,450,448)</f>
        <v>457.33333333333331</v>
      </c>
      <c r="O106" s="141" t="s">
        <v>1092</v>
      </c>
      <c r="P106" s="203" t="s">
        <v>16</v>
      </c>
      <c r="Q106" s="141" t="s">
        <v>16</v>
      </c>
      <c r="R106" s="204" t="s">
        <v>16</v>
      </c>
      <c r="S106" s="220" t="s">
        <v>16</v>
      </c>
      <c r="T106" s="141" t="s">
        <v>16</v>
      </c>
      <c r="U106" s="204" t="s">
        <v>16</v>
      </c>
    </row>
    <row r="107" spans="1:22" s="37" customFormat="1" ht="12.6" customHeight="1">
      <c r="A107" s="213" t="s">
        <v>141</v>
      </c>
      <c r="B107" s="213" t="s">
        <v>301</v>
      </c>
      <c r="C107" s="141">
        <v>90</v>
      </c>
      <c r="D107" s="142">
        <v>3.5</v>
      </c>
      <c r="E107" s="141">
        <f>1.6*C107</f>
        <v>144</v>
      </c>
      <c r="F107" s="214" t="s">
        <v>31</v>
      </c>
      <c r="G107" s="215">
        <v>0.5</v>
      </c>
      <c r="H107" s="216">
        <v>0.39</v>
      </c>
      <c r="I107" s="141">
        <v>57.6</v>
      </c>
      <c r="J107" s="141">
        <v>63.5</v>
      </c>
      <c r="K107" s="186">
        <v>49</v>
      </c>
      <c r="L107" s="203">
        <f>AVERAGE(438,375,440,317,305,280,310)</f>
        <v>352.14285714285717</v>
      </c>
      <c r="M107" s="186" t="s">
        <v>1001</v>
      </c>
      <c r="N107" s="141">
        <f>AVERAGE(465.58,529,530,479,400,420,479,450)</f>
        <v>469.07249999999999</v>
      </c>
      <c r="O107" s="141" t="s">
        <v>1092</v>
      </c>
      <c r="P107" s="203" t="s">
        <v>379</v>
      </c>
      <c r="Q107" s="141" t="s">
        <v>387</v>
      </c>
      <c r="R107" s="280" t="s">
        <v>512</v>
      </c>
      <c r="S107" s="290" t="s">
        <v>861</v>
      </c>
      <c r="T107" s="141" t="s">
        <v>16</v>
      </c>
      <c r="U107" s="186" t="s">
        <v>16</v>
      </c>
    </row>
    <row r="108" spans="1:22" s="37" customFormat="1" ht="12.6" customHeight="1">
      <c r="A108" s="213" t="s">
        <v>141</v>
      </c>
      <c r="B108" s="213" t="s">
        <v>420</v>
      </c>
      <c r="C108" s="141">
        <v>125</v>
      </c>
      <c r="D108" s="142">
        <v>2.5</v>
      </c>
      <c r="E108" s="141">
        <f>1.6*C108</f>
        <v>200</v>
      </c>
      <c r="F108" s="214" t="s">
        <v>31</v>
      </c>
      <c r="G108" s="215">
        <v>0.38</v>
      </c>
      <c r="H108" s="216">
        <v>0.69</v>
      </c>
      <c r="I108" s="141">
        <v>88.2</v>
      </c>
      <c r="J108" s="141">
        <v>76</v>
      </c>
      <c r="K108" s="186">
        <v>58</v>
      </c>
      <c r="L108" s="203">
        <f>AVERAGE(1778,1200,1229,1229,1174,1320,1125,1199,1249,1350)</f>
        <v>1285.3</v>
      </c>
      <c r="M108" s="186" t="s">
        <v>1092</v>
      </c>
      <c r="N108" s="141">
        <f>AVERAGE(2100,2280,1745,1999,2150,2390,2250,2150)</f>
        <v>2133</v>
      </c>
      <c r="O108" s="141" t="s">
        <v>881</v>
      </c>
      <c r="P108" s="203" t="s">
        <v>525</v>
      </c>
      <c r="Q108" s="141" t="s">
        <v>529</v>
      </c>
      <c r="R108" s="280" t="s">
        <v>33</v>
      </c>
      <c r="S108" s="203" t="s">
        <v>16</v>
      </c>
      <c r="T108" s="141" t="s">
        <v>16</v>
      </c>
      <c r="U108" s="280" t="s">
        <v>16</v>
      </c>
    </row>
    <row r="109" spans="1:22" ht="12.6" customHeight="1">
      <c r="A109" s="205" t="s">
        <v>141</v>
      </c>
      <c r="B109" s="205" t="s">
        <v>302</v>
      </c>
      <c r="C109" s="172">
        <v>180</v>
      </c>
      <c r="D109" s="211">
        <v>4</v>
      </c>
      <c r="E109" s="172">
        <f t="shared" si="15"/>
        <v>288</v>
      </c>
      <c r="F109" s="196" t="s">
        <v>31</v>
      </c>
      <c r="G109" s="195">
        <v>1.2</v>
      </c>
      <c r="H109" s="176">
        <v>0.48499999999999999</v>
      </c>
      <c r="I109" s="172">
        <v>79</v>
      </c>
      <c r="J109" s="172">
        <v>65.599999999999994</v>
      </c>
      <c r="K109" s="188">
        <v>49</v>
      </c>
      <c r="L109" s="172">
        <f>AVERAGE(1150,1150,1230,899,1199,999,949,998,1269)</f>
        <v>1093.6666666666667</v>
      </c>
      <c r="M109" s="186" t="s">
        <v>999</v>
      </c>
      <c r="N109" s="172">
        <f>AVERAGE(1438,1230,1505,1370,1573,1800,1697,1473,1150)</f>
        <v>1470.6666666666667</v>
      </c>
      <c r="O109" s="211" t="s">
        <v>1092</v>
      </c>
      <c r="P109" s="197" t="s">
        <v>16</v>
      </c>
      <c r="Q109" s="172" t="s">
        <v>16</v>
      </c>
      <c r="R109" s="188" t="s">
        <v>16</v>
      </c>
      <c r="S109" s="286" t="s">
        <v>16</v>
      </c>
      <c r="T109" s="172" t="s">
        <v>16</v>
      </c>
      <c r="U109" s="188" t="s">
        <v>16</v>
      </c>
      <c r="V109" s="16"/>
    </row>
    <row r="110" spans="1:22" s="37" customFormat="1" ht="12.6" customHeight="1">
      <c r="A110" s="243" t="s">
        <v>353</v>
      </c>
      <c r="B110" s="244"/>
      <c r="C110" s="179"/>
      <c r="D110" s="245" t="s">
        <v>16</v>
      </c>
      <c r="E110" s="179" t="s">
        <v>16</v>
      </c>
      <c r="F110" s="246" t="s">
        <v>16</v>
      </c>
      <c r="G110" s="247" t="s">
        <v>16</v>
      </c>
      <c r="H110" s="248" t="s">
        <v>16</v>
      </c>
      <c r="I110" s="179" t="s">
        <v>16</v>
      </c>
      <c r="J110" s="179" t="s">
        <v>16</v>
      </c>
      <c r="K110" s="179" t="s">
        <v>16</v>
      </c>
      <c r="L110" s="179" t="s">
        <v>16</v>
      </c>
      <c r="M110" s="292" t="s">
        <v>16</v>
      </c>
      <c r="N110" s="179" t="s">
        <v>16</v>
      </c>
      <c r="O110" s="179" t="s">
        <v>16</v>
      </c>
      <c r="P110" s="179" t="s">
        <v>16</v>
      </c>
      <c r="Q110" s="179" t="s">
        <v>16</v>
      </c>
      <c r="R110" s="179" t="s">
        <v>16</v>
      </c>
      <c r="S110" s="179" t="s">
        <v>16</v>
      </c>
      <c r="T110" s="179" t="s">
        <v>16</v>
      </c>
      <c r="U110" s="179" t="s">
        <v>16</v>
      </c>
    </row>
    <row r="111" spans="1:22" s="37" customFormat="1" ht="12.6" customHeight="1">
      <c r="A111" s="213" t="s">
        <v>139</v>
      </c>
      <c r="B111" s="213" t="s">
        <v>281</v>
      </c>
      <c r="C111" s="141" t="s">
        <v>222</v>
      </c>
      <c r="D111" s="142">
        <v>2.8</v>
      </c>
      <c r="E111" s="141">
        <f>1.6*C111</f>
        <v>44.800000000000004</v>
      </c>
      <c r="F111" s="214" t="s">
        <v>31</v>
      </c>
      <c r="G111" s="215">
        <v>0.3</v>
      </c>
      <c r="H111" s="216">
        <v>0.56499999999999995</v>
      </c>
      <c r="I111" s="141">
        <v>86.5</v>
      </c>
      <c r="J111" s="141">
        <v>75</v>
      </c>
      <c r="K111" s="141">
        <v>67</v>
      </c>
      <c r="L111" s="203">
        <f>AVERAGE(850,999,710,850,866,1025)</f>
        <v>883.33333333333337</v>
      </c>
      <c r="M111" s="218" t="s">
        <v>1008</v>
      </c>
      <c r="N111" s="141">
        <f>AVERAGE(1425,1240,1090,1375,1644,1326,1025,1063,1300)</f>
        <v>1276.4444444444443</v>
      </c>
      <c r="O111" s="141" t="s">
        <v>584</v>
      </c>
      <c r="P111" s="203">
        <v>1300</v>
      </c>
      <c r="Q111" s="141" t="s">
        <v>821</v>
      </c>
      <c r="R111" s="280" t="s">
        <v>33</v>
      </c>
      <c r="S111" s="290" t="s">
        <v>812</v>
      </c>
      <c r="T111" s="141" t="s">
        <v>821</v>
      </c>
      <c r="U111" s="280" t="s">
        <v>28</v>
      </c>
    </row>
    <row r="112" spans="1:22" s="37" customFormat="1" ht="12.6" customHeight="1">
      <c r="A112" s="205" t="s">
        <v>139</v>
      </c>
      <c r="B112" s="194" t="s">
        <v>304</v>
      </c>
      <c r="C112" s="172">
        <v>35</v>
      </c>
      <c r="D112" s="211">
        <v>4</v>
      </c>
      <c r="E112" s="172">
        <f>1.6*C112</f>
        <v>56</v>
      </c>
      <c r="F112" s="207" t="s">
        <v>31</v>
      </c>
      <c r="G112" s="195">
        <v>0.28000000000000003</v>
      </c>
      <c r="H112" s="176">
        <v>0.31</v>
      </c>
      <c r="I112" s="172">
        <v>51</v>
      </c>
      <c r="J112" s="172" t="s">
        <v>16</v>
      </c>
      <c r="K112" s="211">
        <v>49</v>
      </c>
      <c r="L112" s="197">
        <f>AVERAGE(276,310,400,355,345,325,393,326,375,345,383)</f>
        <v>348.45454545454544</v>
      </c>
      <c r="M112" s="279" t="s">
        <v>852</v>
      </c>
      <c r="N112" s="172">
        <f>AVERAGE(655,500,600,488,506,528,500)</f>
        <v>539.57142857142856</v>
      </c>
      <c r="O112" s="206" t="s">
        <v>863</v>
      </c>
      <c r="P112" s="197" t="s">
        <v>16</v>
      </c>
      <c r="Q112" s="206" t="s">
        <v>16</v>
      </c>
      <c r="R112" s="188" t="s">
        <v>16</v>
      </c>
      <c r="S112" s="197">
        <v>760</v>
      </c>
      <c r="T112" s="206" t="s">
        <v>881</v>
      </c>
      <c r="U112" s="188" t="s">
        <v>874</v>
      </c>
    </row>
    <row r="113" spans="1:22" s="37" customFormat="1" ht="12.6" customHeight="1">
      <c r="A113" s="213" t="s">
        <v>139</v>
      </c>
      <c r="B113" s="213" t="s">
        <v>689</v>
      </c>
      <c r="C113" s="141">
        <v>50</v>
      </c>
      <c r="D113" s="142">
        <v>2.8</v>
      </c>
      <c r="E113" s="141">
        <f>1.6*C113</f>
        <v>80</v>
      </c>
      <c r="F113" s="214" t="s">
        <v>608</v>
      </c>
      <c r="G113" s="215">
        <v>0.65</v>
      </c>
      <c r="H113" s="216">
        <v>1.4</v>
      </c>
      <c r="I113" s="141">
        <v>108</v>
      </c>
      <c r="J113" s="141">
        <v>129</v>
      </c>
      <c r="K113" s="186" t="s">
        <v>16</v>
      </c>
      <c r="L113" s="203">
        <f>AVERAGE(1655,1550)</f>
        <v>1602.5</v>
      </c>
      <c r="M113" s="155" t="s">
        <v>765</v>
      </c>
      <c r="N113" s="203">
        <f>AVERAGE(2516,2550,2136)</f>
        <v>2400.6666666666665</v>
      </c>
      <c r="O113" s="141" t="s">
        <v>734</v>
      </c>
      <c r="P113" s="203" t="s">
        <v>16</v>
      </c>
      <c r="Q113" s="141" t="s">
        <v>16</v>
      </c>
      <c r="R113" s="280" t="s">
        <v>16</v>
      </c>
      <c r="S113" s="291" t="s">
        <v>690</v>
      </c>
      <c r="T113" s="141" t="s">
        <v>692</v>
      </c>
      <c r="U113" s="280" t="s">
        <v>32</v>
      </c>
    </row>
    <row r="114" spans="1:22" ht="12.6" customHeight="1">
      <c r="A114" s="205" t="s">
        <v>139</v>
      </c>
      <c r="B114" s="205" t="s">
        <v>688</v>
      </c>
      <c r="C114" s="172">
        <v>90</v>
      </c>
      <c r="D114" s="211">
        <v>4.5</v>
      </c>
      <c r="E114" s="172">
        <f>1.6*C114</f>
        <v>144</v>
      </c>
      <c r="F114" s="196" t="s">
        <v>608</v>
      </c>
      <c r="G114" s="195">
        <v>0.56999999999999995</v>
      </c>
      <c r="H114" s="176">
        <v>1.1100000000000001</v>
      </c>
      <c r="I114" s="172">
        <v>138.80000000000001</v>
      </c>
      <c r="J114" s="172">
        <v>108</v>
      </c>
      <c r="K114" s="188" t="s">
        <v>16</v>
      </c>
      <c r="L114" s="197">
        <f>AVERAGE(0)</f>
        <v>0</v>
      </c>
      <c r="M114" s="172" t="s">
        <v>16</v>
      </c>
      <c r="N114" s="197">
        <f>AVERAGE(2000,2000)</f>
        <v>2000</v>
      </c>
      <c r="O114" s="211" t="s">
        <v>765</v>
      </c>
      <c r="P114" s="197" t="s">
        <v>16</v>
      </c>
      <c r="Q114" s="172" t="s">
        <v>16</v>
      </c>
      <c r="R114" s="188" t="s">
        <v>16</v>
      </c>
      <c r="S114" s="197">
        <v>2795</v>
      </c>
      <c r="T114" s="172" t="s">
        <v>881</v>
      </c>
      <c r="U114" s="188" t="s">
        <v>32</v>
      </c>
      <c r="V114" s="16"/>
    </row>
    <row r="115" spans="1:22" s="37" customFormat="1" ht="12.6" customHeight="1">
      <c r="A115" s="243" t="s">
        <v>1014</v>
      </c>
      <c r="B115" s="244"/>
      <c r="C115" s="179"/>
      <c r="D115" s="245" t="s">
        <v>16</v>
      </c>
      <c r="E115" s="179" t="s">
        <v>16</v>
      </c>
      <c r="F115" s="246" t="s">
        <v>16</v>
      </c>
      <c r="G115" s="247" t="s">
        <v>16</v>
      </c>
      <c r="H115" s="248" t="s">
        <v>16</v>
      </c>
      <c r="I115" s="179" t="s">
        <v>16</v>
      </c>
      <c r="J115" s="179" t="s">
        <v>16</v>
      </c>
      <c r="K115" s="179" t="s">
        <v>16</v>
      </c>
      <c r="L115" s="179" t="s">
        <v>16</v>
      </c>
      <c r="M115" s="179" t="s">
        <v>16</v>
      </c>
      <c r="N115" s="179" t="s">
        <v>16</v>
      </c>
      <c r="O115" s="179" t="s">
        <v>16</v>
      </c>
      <c r="P115" s="179" t="s">
        <v>16</v>
      </c>
      <c r="Q115" s="179" t="s">
        <v>16</v>
      </c>
      <c r="R115" s="179" t="s">
        <v>16</v>
      </c>
      <c r="S115" s="179" t="s">
        <v>16</v>
      </c>
      <c r="T115" s="179" t="s">
        <v>16</v>
      </c>
      <c r="U115" s="179" t="s">
        <v>16</v>
      </c>
    </row>
    <row r="116" spans="1:22" ht="12.6" customHeight="1">
      <c r="A116" s="213" t="s">
        <v>823</v>
      </c>
      <c r="B116" s="213" t="s">
        <v>966</v>
      </c>
      <c r="C116" s="141">
        <v>50</v>
      </c>
      <c r="D116" s="142">
        <v>1.8</v>
      </c>
      <c r="E116" s="141">
        <v>65</v>
      </c>
      <c r="F116" s="202" t="s">
        <v>121</v>
      </c>
      <c r="G116" s="215">
        <v>0.19500000000000001</v>
      </c>
      <c r="H116" s="216">
        <v>0.33</v>
      </c>
      <c r="I116" s="141">
        <v>39</v>
      </c>
      <c r="J116" s="141">
        <v>64</v>
      </c>
      <c r="K116" s="141">
        <v>49</v>
      </c>
      <c r="L116" s="203">
        <f>AVERAGE(27,20,30)</f>
        <v>25.666666666666668</v>
      </c>
      <c r="M116" s="280" t="s">
        <v>826</v>
      </c>
      <c r="N116" s="203">
        <f>AVERAGE(40,55)</f>
        <v>47.5</v>
      </c>
      <c r="O116" s="280" t="s">
        <v>826</v>
      </c>
      <c r="P116" s="141" t="s">
        <v>16</v>
      </c>
      <c r="Q116" s="141" t="s">
        <v>16</v>
      </c>
      <c r="R116" s="141" t="s">
        <v>16</v>
      </c>
      <c r="S116" s="203" t="s">
        <v>16</v>
      </c>
      <c r="T116" s="141" t="s">
        <v>16</v>
      </c>
      <c r="U116" s="186" t="s">
        <v>16</v>
      </c>
    </row>
    <row r="117" spans="1:22" ht="12.6" customHeight="1">
      <c r="A117" s="213" t="s">
        <v>772</v>
      </c>
      <c r="B117" s="213" t="s">
        <v>1018</v>
      </c>
      <c r="C117" s="141">
        <v>58</v>
      </c>
      <c r="D117" s="142">
        <v>1.9</v>
      </c>
      <c r="E117" s="141">
        <f>C117*1.6</f>
        <v>92.800000000000011</v>
      </c>
      <c r="F117" s="202" t="s">
        <v>121</v>
      </c>
      <c r="G117" s="215">
        <f>2.5*0.3048</f>
        <v>0.76200000000000001</v>
      </c>
      <c r="H117" s="216">
        <v>0.12</v>
      </c>
      <c r="I117" s="141">
        <v>34</v>
      </c>
      <c r="J117" s="141">
        <v>51.4</v>
      </c>
      <c r="K117" s="141">
        <v>39</v>
      </c>
      <c r="L117" s="203">
        <f>AVERAGE(326,449,415,409,369,300,350,401,408,400)</f>
        <v>382.7</v>
      </c>
      <c r="M117" s="280" t="s">
        <v>1092</v>
      </c>
      <c r="N117" s="203">
        <f>AVERAGE(485,410,622,540,500)</f>
        <v>511.4</v>
      </c>
      <c r="O117" s="280" t="s">
        <v>999</v>
      </c>
      <c r="P117" s="141" t="s">
        <v>16</v>
      </c>
      <c r="Q117" s="141" t="s">
        <v>16</v>
      </c>
      <c r="R117" s="141" t="s">
        <v>16</v>
      </c>
      <c r="S117" s="203" t="s">
        <v>16</v>
      </c>
      <c r="T117" s="141" t="s">
        <v>16</v>
      </c>
      <c r="U117" s="186" t="s">
        <v>16</v>
      </c>
    </row>
    <row r="118" spans="1:22" s="37" customFormat="1" ht="12.6" customHeight="1">
      <c r="A118" s="213" t="s">
        <v>772</v>
      </c>
      <c r="B118" s="213" t="s">
        <v>1019</v>
      </c>
      <c r="C118" s="142">
        <v>75</v>
      </c>
      <c r="D118" s="142">
        <v>1.9</v>
      </c>
      <c r="E118" s="141">
        <f>C118*1.6</f>
        <v>120</v>
      </c>
      <c r="F118" s="214" t="s">
        <v>121</v>
      </c>
      <c r="G118" s="215">
        <v>1</v>
      </c>
      <c r="H118" s="216">
        <v>0.249</v>
      </c>
      <c r="I118" s="141">
        <v>65</v>
      </c>
      <c r="J118" s="141">
        <v>55</v>
      </c>
      <c r="K118" s="142" t="s">
        <v>16</v>
      </c>
      <c r="L118" s="203">
        <f>AVERAGE(1123,1025)</f>
        <v>1074</v>
      </c>
      <c r="M118" s="160" t="s">
        <v>1001</v>
      </c>
      <c r="N118" s="203">
        <f>AVERAGE(1790,1900)</f>
        <v>1845</v>
      </c>
      <c r="O118" s="142" t="s">
        <v>1092</v>
      </c>
      <c r="P118" s="203" t="s">
        <v>16</v>
      </c>
      <c r="Q118" s="160" t="s">
        <v>16</v>
      </c>
      <c r="R118" s="141" t="s">
        <v>16</v>
      </c>
      <c r="S118" s="203" t="s">
        <v>16</v>
      </c>
      <c r="T118" s="160" t="s">
        <v>16</v>
      </c>
      <c r="U118" s="186" t="s">
        <v>16</v>
      </c>
    </row>
    <row r="119" spans="1:22" s="37" customFormat="1" ht="12.6" customHeight="1">
      <c r="A119" s="205" t="s">
        <v>1015</v>
      </c>
      <c r="B119" s="205" t="s">
        <v>1016</v>
      </c>
      <c r="C119" s="211">
        <v>180</v>
      </c>
      <c r="D119" s="211" t="s">
        <v>1017</v>
      </c>
      <c r="E119" s="172">
        <f>C119*1.6</f>
        <v>288</v>
      </c>
      <c r="F119" s="212" t="s">
        <v>31</v>
      </c>
      <c r="G119" s="195">
        <v>1.8</v>
      </c>
      <c r="H119" s="176">
        <v>0.995</v>
      </c>
      <c r="I119" s="172"/>
      <c r="J119" s="172"/>
      <c r="K119" s="172">
        <v>82</v>
      </c>
      <c r="L119" s="197">
        <f>AVERAGE(2763)</f>
        <v>2763</v>
      </c>
      <c r="M119" s="279" t="s">
        <v>1092</v>
      </c>
      <c r="N119" s="197">
        <f>AVERAGE(0)</f>
        <v>0</v>
      </c>
      <c r="O119" s="279"/>
      <c r="P119" s="172"/>
      <c r="Q119" s="206"/>
      <c r="R119" s="172"/>
      <c r="S119" s="197"/>
      <c r="T119" s="206"/>
      <c r="U119" s="188"/>
    </row>
  </sheetData>
  <sheetProtection password="990B" sheet="1" objects="1" scenarios="1"/>
  <phoneticPr fontId="0" type="noConversion"/>
  <conditionalFormatting sqref="O85:O92 M85 M87 O29:O37 O39:O41 M94 M89 M30:M41 O120:O65551 M120:M65551 M19:M20 M77:M79 O77:O79 M51 O43 M43 M16:M17 O1:O9 M1:M9 O19:O20 O15:O17 M45 M23 O23 O25:O26 M25:M26 O69:O75 O48:O51 M69:M75 M48:M49 O81 M81 O60:O66 M60:M66 O57:O58 M57:M58 O53 M53 M55 O55 M91:M92 M98:M105 O98:O105 O107:O112 M107:M112 O94">
    <cfRule type="cellIs" dxfId="332" priority="101" stopIfTrue="1" operator="lessThan">
      <formula>".08-09"</formula>
    </cfRule>
  </conditionalFormatting>
  <conditionalFormatting sqref="O95:O97 M95:M97">
    <cfRule type="cellIs" dxfId="331" priority="102" stopIfTrue="1" operator="lessThan">
      <formula>".07-06"</formula>
    </cfRule>
  </conditionalFormatting>
  <conditionalFormatting sqref="O29">
    <cfRule type="cellIs" dxfId="330" priority="98" stopIfTrue="1" operator="lessThan">
      <formula>".08-09"</formula>
    </cfRule>
  </conditionalFormatting>
  <conditionalFormatting sqref="M29">
    <cfRule type="cellIs" dxfId="329" priority="95" stopIfTrue="1" operator="lessThan">
      <formula>".08-09"</formula>
    </cfRule>
  </conditionalFormatting>
  <conditionalFormatting sqref="O18">
    <cfRule type="cellIs" dxfId="328" priority="94" stopIfTrue="1" operator="lessThan">
      <formula>".08-09"</formula>
    </cfRule>
  </conditionalFormatting>
  <conditionalFormatting sqref="M18">
    <cfRule type="cellIs" dxfId="327" priority="93" stopIfTrue="1" operator="lessThan">
      <formula>".08-09"</formula>
    </cfRule>
  </conditionalFormatting>
  <conditionalFormatting sqref="O38">
    <cfRule type="cellIs" dxfId="326" priority="90" stopIfTrue="1" operator="lessThan">
      <formula>".08-09"</formula>
    </cfRule>
  </conditionalFormatting>
  <conditionalFormatting sqref="M50">
    <cfRule type="cellIs" dxfId="325" priority="88" stopIfTrue="1" operator="lessThan">
      <formula>".08-09"</formula>
    </cfRule>
  </conditionalFormatting>
  <conditionalFormatting sqref="O45">
    <cfRule type="cellIs" dxfId="324" priority="85" stopIfTrue="1" operator="lessThan">
      <formula>".08-09"</formula>
    </cfRule>
  </conditionalFormatting>
  <conditionalFormatting sqref="M86">
    <cfRule type="cellIs" dxfId="323" priority="84" stopIfTrue="1" operator="lessThan">
      <formula>".08-09"</formula>
    </cfRule>
  </conditionalFormatting>
  <conditionalFormatting sqref="M76 O76">
    <cfRule type="cellIs" dxfId="322" priority="83" stopIfTrue="1" operator="lessThan">
      <formula>".08-09"</formula>
    </cfRule>
  </conditionalFormatting>
  <conditionalFormatting sqref="M80">
    <cfRule type="cellIs" dxfId="321" priority="82" stopIfTrue="1" operator="lessThan">
      <formula>".08-09"</formula>
    </cfRule>
  </conditionalFormatting>
  <conditionalFormatting sqref="M88">
    <cfRule type="cellIs" dxfId="320" priority="77" stopIfTrue="1" operator="lessThan">
      <formula>".08-09"</formula>
    </cfRule>
  </conditionalFormatting>
  <conditionalFormatting sqref="O113:O114">
    <cfRule type="cellIs" dxfId="319" priority="74" stopIfTrue="1" operator="lessThan">
      <formula>".08-09"</formula>
    </cfRule>
  </conditionalFormatting>
  <conditionalFormatting sqref="M113:M114">
    <cfRule type="cellIs" dxfId="318" priority="73" stopIfTrue="1" operator="lessThan">
      <formula>".08-09"</formula>
    </cfRule>
  </conditionalFormatting>
  <conditionalFormatting sqref="M15">
    <cfRule type="cellIs" dxfId="317" priority="72" stopIfTrue="1" operator="lessThan">
      <formula>".08-09"</formula>
    </cfRule>
  </conditionalFormatting>
  <conditionalFormatting sqref="O80">
    <cfRule type="cellIs" dxfId="316" priority="71" stopIfTrue="1" operator="lessThan">
      <formula>".08-09"</formula>
    </cfRule>
  </conditionalFormatting>
  <conditionalFormatting sqref="M47">
    <cfRule type="cellIs" dxfId="315" priority="63" stopIfTrue="1" operator="lessThan">
      <formula>".08-09"</formula>
    </cfRule>
  </conditionalFormatting>
  <conditionalFormatting sqref="O47">
    <cfRule type="cellIs" dxfId="314" priority="62" stopIfTrue="1" operator="lessThan">
      <formula>".08-09"</formula>
    </cfRule>
  </conditionalFormatting>
  <conditionalFormatting sqref="O46">
    <cfRule type="cellIs" dxfId="313" priority="60" stopIfTrue="1" operator="lessThan">
      <formula>".08-09"</formula>
    </cfRule>
  </conditionalFormatting>
  <conditionalFormatting sqref="M46">
    <cfRule type="cellIs" dxfId="312" priority="59" stopIfTrue="1" operator="lessThan">
      <formula>".08-09"</formula>
    </cfRule>
  </conditionalFormatting>
  <conditionalFormatting sqref="M12 O12">
    <cfRule type="cellIs" dxfId="311" priority="55" stopIfTrue="1" operator="lessThan">
      <formula>".08-09"</formula>
    </cfRule>
  </conditionalFormatting>
  <conditionalFormatting sqref="O12 M12">
    <cfRule type="cellIs" dxfId="310" priority="56" stopIfTrue="1" operator="lessThan">
      <formula>".08-09"</formula>
    </cfRule>
  </conditionalFormatting>
  <conditionalFormatting sqref="M11 O11">
    <cfRule type="cellIs" dxfId="309" priority="51" stopIfTrue="1" operator="lessThan">
      <formula>".08-09"</formula>
    </cfRule>
  </conditionalFormatting>
  <conditionalFormatting sqref="O13 M13">
    <cfRule type="cellIs" dxfId="308" priority="50" stopIfTrue="1" operator="lessThan">
      <formula>".08-09"</formula>
    </cfRule>
  </conditionalFormatting>
  <conditionalFormatting sqref="O82 M82">
    <cfRule type="cellIs" dxfId="307" priority="49" stopIfTrue="1" operator="lessThan">
      <formula>".08-09"</formula>
    </cfRule>
  </conditionalFormatting>
  <conditionalFormatting sqref="M44 O44">
    <cfRule type="cellIs" dxfId="306" priority="48" stopIfTrue="1" operator="lessThan">
      <formula>".08-09"</formula>
    </cfRule>
  </conditionalFormatting>
  <conditionalFormatting sqref="O10 M10">
    <cfRule type="cellIs" dxfId="305" priority="47" stopIfTrue="1" operator="lessThan">
      <formula>".08-09"</formula>
    </cfRule>
  </conditionalFormatting>
  <conditionalFormatting sqref="O14">
    <cfRule type="cellIs" dxfId="304" priority="46" stopIfTrue="1" operator="lessThan">
      <formula>".08-09"</formula>
    </cfRule>
  </conditionalFormatting>
  <conditionalFormatting sqref="M14">
    <cfRule type="cellIs" dxfId="303" priority="45" stopIfTrue="1" operator="lessThan">
      <formula>".08-09"</formula>
    </cfRule>
  </conditionalFormatting>
  <conditionalFormatting sqref="M22 O22">
    <cfRule type="cellIs" dxfId="302" priority="43" stopIfTrue="1" operator="lessThan">
      <formula>".08-09"</formula>
    </cfRule>
  </conditionalFormatting>
  <conditionalFormatting sqref="M67 O67">
    <cfRule type="cellIs" dxfId="301" priority="42" stopIfTrue="1" operator="lessThan">
      <formula>".08-09"</formula>
    </cfRule>
  </conditionalFormatting>
  <conditionalFormatting sqref="M21 O21">
    <cfRule type="cellIs" dxfId="300" priority="41" stopIfTrue="1" operator="lessThan">
      <formula>".08-09"</formula>
    </cfRule>
  </conditionalFormatting>
  <conditionalFormatting sqref="M24 O24">
    <cfRule type="cellIs" dxfId="299" priority="40" stopIfTrue="1" operator="lessThan">
      <formula>".08-09"</formula>
    </cfRule>
  </conditionalFormatting>
  <conditionalFormatting sqref="O106 M106">
    <cfRule type="cellIs" dxfId="298" priority="39" stopIfTrue="1" operator="lessThan">
      <formula>".08-09"</formula>
    </cfRule>
  </conditionalFormatting>
  <conditionalFormatting sqref="M83:M84 O83:O84">
    <cfRule type="cellIs" dxfId="297" priority="36" stopIfTrue="1" operator="lessThan">
      <formula>".08-09"</formula>
    </cfRule>
  </conditionalFormatting>
  <conditionalFormatting sqref="O27 M27">
    <cfRule type="cellIs" dxfId="296" priority="33" stopIfTrue="1" operator="lessThan">
      <formula>".08-09"</formula>
    </cfRule>
  </conditionalFormatting>
  <conditionalFormatting sqref="M59 O59">
    <cfRule type="cellIs" dxfId="295" priority="32" stopIfTrue="1" operator="lessThan">
      <formula>".08-09"</formula>
    </cfRule>
  </conditionalFormatting>
  <conditionalFormatting sqref="M42 O42">
    <cfRule type="cellIs" dxfId="294" priority="30" stopIfTrue="1" operator="lessThan">
      <formula>".08-09"</formula>
    </cfRule>
  </conditionalFormatting>
  <conditionalFormatting sqref="M52 O52">
    <cfRule type="cellIs" dxfId="293" priority="23" stopIfTrue="1" operator="lessThan">
      <formula>".08-09"</formula>
    </cfRule>
  </conditionalFormatting>
  <conditionalFormatting sqref="O28 M28">
    <cfRule type="cellIs" dxfId="292" priority="20" stopIfTrue="1" operator="lessThan">
      <formula>".08-09"</formula>
    </cfRule>
  </conditionalFormatting>
  <conditionalFormatting sqref="M90">
    <cfRule type="cellIs" dxfId="291" priority="17" stopIfTrue="1" operator="lessThan">
      <formula>".08-09"</formula>
    </cfRule>
  </conditionalFormatting>
  <conditionalFormatting sqref="M116">
    <cfRule type="cellIs" dxfId="290" priority="15" stopIfTrue="1" operator="lessThan">
      <formula>".08-09"</formula>
    </cfRule>
  </conditionalFormatting>
  <conditionalFormatting sqref="M117">
    <cfRule type="cellIs" dxfId="289" priority="12" stopIfTrue="1" operator="lessThan">
      <formula>".08-09"</formula>
    </cfRule>
  </conditionalFormatting>
  <conditionalFormatting sqref="O115 M115">
    <cfRule type="cellIs" dxfId="288" priority="11" stopIfTrue="1" operator="lessThan">
      <formula>".08-09"</formula>
    </cfRule>
  </conditionalFormatting>
  <conditionalFormatting sqref="M119">
    <cfRule type="cellIs" dxfId="287" priority="10" stopIfTrue="1" operator="lessThan">
      <formula>".08-09"</formula>
    </cfRule>
  </conditionalFormatting>
  <conditionalFormatting sqref="O119">
    <cfRule type="cellIs" dxfId="286" priority="9" stopIfTrue="1" operator="lessThan">
      <formula>".08-09"</formula>
    </cfRule>
  </conditionalFormatting>
  <conditionalFormatting sqref="M93 O93">
    <cfRule type="cellIs" dxfId="285" priority="6" stopIfTrue="1" operator="lessThan">
      <formula>".08-09"</formula>
    </cfRule>
  </conditionalFormatting>
  <conditionalFormatting sqref="M118 O118">
    <cfRule type="cellIs" dxfId="284" priority="5" stopIfTrue="1" operator="lessThan">
      <formula>".08-09"</formula>
    </cfRule>
  </conditionalFormatting>
  <conditionalFormatting sqref="M54 O54">
    <cfRule type="cellIs" dxfId="283" priority="3" stopIfTrue="1" operator="lessThan">
      <formula>".08-09"</formula>
    </cfRule>
  </conditionalFormatting>
  <conditionalFormatting sqref="M68 O68">
    <cfRule type="cellIs" dxfId="282" priority="2" stopIfTrue="1" operator="lessThan">
      <formula>".08-09"</formula>
    </cfRule>
  </conditionalFormatting>
  <conditionalFormatting sqref="M56 O56">
    <cfRule type="cellIs" dxfId="281" priority="1" stopIfTrue="1" operator="lessThan">
      <formula>".08-09"</formula>
    </cfRule>
  </conditionalFormatting>
  <pageMargins left="0.31496062992125984" right="0" top="0.51181102362204722" bottom="0" header="0.59055118110236227" footer="0.51181102362204722"/>
  <pageSetup orientation="landscape" r:id="rId1"/>
  <headerFooter alignWithMargins="0">
    <oddHeader>&amp;R&amp;9(&amp;P of &amp;N)</oddHeader>
  </headerFooter>
  <rowBreaks count="2" manualBreakCount="2">
    <brk id="44" max="16383" man="1"/>
    <brk id="8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186"/>
  <sheetViews>
    <sheetView zoomScaleNormal="100" workbookViewId="0"/>
  </sheetViews>
  <sheetFormatPr defaultRowHeight="12.6" customHeight="1"/>
  <cols>
    <col min="1" max="1" width="8.7109375" style="75" customWidth="1"/>
    <col min="2" max="2" width="23.5703125" style="75" customWidth="1"/>
    <col min="3" max="3" width="6.28515625" style="15" customWidth="1"/>
    <col min="4" max="4" width="6.5703125" style="14" customWidth="1"/>
    <col min="5" max="5" width="6.28515625" style="15" customWidth="1"/>
    <col min="6" max="6" width="4.7109375" style="17" customWidth="1"/>
    <col min="7" max="7" width="4.7109375" style="48" customWidth="1"/>
    <col min="8" max="8" width="4.7109375" style="74" customWidth="1"/>
    <col min="9" max="11" width="4.7109375" style="15" customWidth="1"/>
    <col min="12" max="17" width="5.28515625" style="15" customWidth="1"/>
    <col min="18" max="18" width="6.140625" style="15" customWidth="1"/>
    <col min="19" max="20" width="5.28515625" style="15" customWidth="1"/>
    <col min="21" max="21" width="5.7109375" style="15" customWidth="1"/>
    <col min="22" max="22" width="1.42578125" style="19" customWidth="1"/>
    <col min="23" max="16384" width="9.140625" style="19"/>
  </cols>
  <sheetData>
    <row r="1" spans="1:21" ht="12.6" customHeight="1">
      <c r="A1" s="10" t="str">
        <f>i!A1</f>
        <v>Lens$db: Lens Price database</v>
      </c>
      <c r="B1" s="30"/>
      <c r="C1" s="45" t="s">
        <v>16</v>
      </c>
      <c r="D1" s="30" t="s">
        <v>16</v>
      </c>
      <c r="E1" s="45" t="s">
        <v>16</v>
      </c>
      <c r="F1" s="30" t="s">
        <v>16</v>
      </c>
      <c r="G1" s="48" t="s">
        <v>16</v>
      </c>
      <c r="H1" s="74" t="s">
        <v>16</v>
      </c>
      <c r="I1" s="15" t="s">
        <v>16</v>
      </c>
      <c r="J1" s="60" t="s">
        <v>16</v>
      </c>
      <c r="K1" s="15" t="s">
        <v>16</v>
      </c>
      <c r="L1" s="16" t="s">
        <v>16</v>
      </c>
      <c r="M1" s="16" t="s">
        <v>16</v>
      </c>
      <c r="N1" s="16" t="s">
        <v>16</v>
      </c>
      <c r="O1" s="16" t="s">
        <v>16</v>
      </c>
      <c r="P1" s="16" t="s">
        <v>16</v>
      </c>
      <c r="Q1" s="19" t="str">
        <f>i!B3</f>
        <v>.2016-06-01</v>
      </c>
      <c r="S1" s="47"/>
      <c r="T1" s="16" t="s">
        <v>16</v>
      </c>
      <c r="U1" s="16" t="s">
        <v>16</v>
      </c>
    </row>
    <row r="2" spans="1:21" ht="12.6" customHeight="1">
      <c r="A2" s="37" t="str">
        <f>i!A3</f>
        <v>v.31</v>
      </c>
      <c r="F2" s="36"/>
      <c r="G2" s="44"/>
      <c r="H2" s="53"/>
      <c r="I2" s="16"/>
      <c r="J2" s="11"/>
      <c r="K2" s="16"/>
      <c r="L2" s="16"/>
      <c r="M2" s="18" t="s">
        <v>16</v>
      </c>
      <c r="N2" s="27"/>
      <c r="O2" s="18" t="s">
        <v>16</v>
      </c>
      <c r="P2" s="27"/>
      <c r="Q2" s="18"/>
      <c r="R2" s="27"/>
      <c r="S2" s="27"/>
      <c r="T2" s="18"/>
      <c r="U2" s="27"/>
    </row>
    <row r="3" spans="1:21" s="30" customFormat="1" ht="12.6" customHeight="1">
      <c r="A3" s="37" t="s">
        <v>16</v>
      </c>
      <c r="B3" s="30" t="s">
        <v>16</v>
      </c>
      <c r="C3" s="49" t="s">
        <v>16</v>
      </c>
      <c r="D3" s="21" t="s">
        <v>16</v>
      </c>
      <c r="E3" s="49" t="s">
        <v>16</v>
      </c>
      <c r="F3" s="77" t="s">
        <v>16</v>
      </c>
      <c r="G3" s="50" t="s">
        <v>16</v>
      </c>
      <c r="H3" s="50" t="s">
        <v>16</v>
      </c>
      <c r="I3" s="50" t="s">
        <v>16</v>
      </c>
      <c r="J3" s="27" t="s">
        <v>16</v>
      </c>
      <c r="K3" s="50" t="s">
        <v>16</v>
      </c>
      <c r="L3" s="78" t="s">
        <v>16</v>
      </c>
      <c r="M3" s="28" t="s">
        <v>16</v>
      </c>
      <c r="N3" s="28" t="s">
        <v>17</v>
      </c>
      <c r="O3" s="28" t="s">
        <v>16</v>
      </c>
      <c r="P3" s="136" t="s">
        <v>16</v>
      </c>
      <c r="Q3" s="90" t="s">
        <v>16</v>
      </c>
      <c r="R3" s="47" t="s">
        <v>18</v>
      </c>
      <c r="S3" s="27"/>
      <c r="T3" s="28" t="s">
        <v>16</v>
      </c>
      <c r="U3" s="33" t="s">
        <v>16</v>
      </c>
    </row>
    <row r="4" spans="1:21" s="37" customFormat="1" ht="12.6" customHeight="1">
      <c r="A4" s="30" t="s">
        <v>16</v>
      </c>
      <c r="B4" s="30"/>
      <c r="C4" s="16" t="s">
        <v>6</v>
      </c>
      <c r="D4" s="18" t="s">
        <v>11</v>
      </c>
      <c r="E4" s="36" t="s">
        <v>760</v>
      </c>
      <c r="F4" s="17" t="s">
        <v>13</v>
      </c>
      <c r="G4" s="52" t="s">
        <v>277</v>
      </c>
      <c r="H4" s="53" t="s">
        <v>7</v>
      </c>
      <c r="I4" s="16" t="s">
        <v>325</v>
      </c>
      <c r="J4" s="16" t="s">
        <v>326</v>
      </c>
      <c r="K4" s="31" t="s">
        <v>327</v>
      </c>
      <c r="L4" s="32" t="s">
        <v>506</v>
      </c>
      <c r="M4" s="33"/>
      <c r="N4" s="34" t="s">
        <v>19</v>
      </c>
      <c r="O4" s="27"/>
      <c r="P4" s="138"/>
      <c r="Q4" s="28" t="s">
        <v>507</v>
      </c>
      <c r="R4" s="29"/>
      <c r="S4" s="135"/>
      <c r="T4" s="31" t="s">
        <v>9</v>
      </c>
      <c r="U4" s="31"/>
    </row>
    <row r="5" spans="1:21" s="37" customFormat="1" ht="12.6" customHeight="1">
      <c r="A5" s="38" t="s">
        <v>16</v>
      </c>
      <c r="B5" s="38" t="s">
        <v>16</v>
      </c>
      <c r="C5" s="27" t="s">
        <v>20</v>
      </c>
      <c r="D5" s="41" t="s">
        <v>16</v>
      </c>
      <c r="E5" s="27" t="s">
        <v>16</v>
      </c>
      <c r="F5" s="84" t="s">
        <v>16</v>
      </c>
      <c r="G5" s="55" t="s">
        <v>37</v>
      </c>
      <c r="H5" s="56" t="s">
        <v>21</v>
      </c>
      <c r="I5" s="27" t="s">
        <v>20</v>
      </c>
      <c r="J5" s="27" t="s">
        <v>20</v>
      </c>
      <c r="K5" s="33" t="s">
        <v>20</v>
      </c>
      <c r="L5" s="26" t="s">
        <v>22</v>
      </c>
      <c r="M5" s="33" t="s">
        <v>23</v>
      </c>
      <c r="N5" s="27" t="s">
        <v>22</v>
      </c>
      <c r="O5" s="27" t="s">
        <v>23</v>
      </c>
      <c r="P5" s="26" t="s">
        <v>22</v>
      </c>
      <c r="Q5" s="27" t="s">
        <v>23</v>
      </c>
      <c r="R5" s="33" t="s">
        <v>24</v>
      </c>
      <c r="S5" s="35" t="s">
        <v>22</v>
      </c>
      <c r="T5" s="28" t="s">
        <v>23</v>
      </c>
      <c r="U5" s="29" t="s">
        <v>24</v>
      </c>
    </row>
    <row r="6" spans="1:21" s="37" customFormat="1" ht="12.6" customHeight="1">
      <c r="A6" s="121" t="s">
        <v>970</v>
      </c>
      <c r="B6" s="68"/>
      <c r="C6" s="28" t="s">
        <v>16</v>
      </c>
      <c r="D6" s="69" t="s">
        <v>16</v>
      </c>
      <c r="E6" s="28" t="s">
        <v>16</v>
      </c>
      <c r="F6" s="72" t="s">
        <v>16</v>
      </c>
      <c r="G6" s="70" t="s">
        <v>16</v>
      </c>
      <c r="H6" s="71" t="s">
        <v>16</v>
      </c>
      <c r="I6" s="28" t="s">
        <v>16</v>
      </c>
      <c r="J6" s="28" t="s">
        <v>16</v>
      </c>
      <c r="K6" s="28" t="s">
        <v>16</v>
      </c>
      <c r="L6" s="28" t="s">
        <v>16</v>
      </c>
      <c r="M6" s="28" t="s">
        <v>16</v>
      </c>
      <c r="N6" s="28" t="s">
        <v>16</v>
      </c>
      <c r="O6" s="28" t="s">
        <v>16</v>
      </c>
      <c r="P6" s="28" t="s">
        <v>16</v>
      </c>
      <c r="Q6" s="28" t="s">
        <v>16</v>
      </c>
      <c r="R6" s="28" t="s">
        <v>16</v>
      </c>
      <c r="S6" s="28" t="s">
        <v>16</v>
      </c>
      <c r="T6" s="28" t="s">
        <v>16</v>
      </c>
      <c r="U6" s="28" t="s">
        <v>16</v>
      </c>
    </row>
    <row r="7" spans="1:21" ht="12.6" customHeight="1">
      <c r="A7" s="143" t="s">
        <v>294</v>
      </c>
      <c r="B7" s="143" t="s">
        <v>873</v>
      </c>
      <c r="C7" s="16">
        <v>15</v>
      </c>
      <c r="D7" s="18">
        <v>2.8</v>
      </c>
      <c r="E7" s="16">
        <f>C7*1.6</f>
        <v>24</v>
      </c>
      <c r="F7" s="85" t="s">
        <v>130</v>
      </c>
      <c r="G7" s="58">
        <v>0.18</v>
      </c>
      <c r="H7" s="53">
        <v>0.71</v>
      </c>
      <c r="I7" s="16">
        <v>85.3</v>
      </c>
      <c r="J7" s="16">
        <v>83.5</v>
      </c>
      <c r="K7" s="31" t="s">
        <v>128</v>
      </c>
      <c r="L7" s="16">
        <f>AVERAGE(0)</f>
        <v>0</v>
      </c>
      <c r="M7" s="31" t="s">
        <v>16</v>
      </c>
      <c r="N7" s="16">
        <f>AVERAGE(6170,6715,6622)</f>
        <v>6502.333333333333</v>
      </c>
      <c r="O7" s="16" t="s">
        <v>881</v>
      </c>
      <c r="P7" s="25" t="s">
        <v>16</v>
      </c>
      <c r="Q7" s="16" t="s">
        <v>16</v>
      </c>
      <c r="R7" s="31" t="s">
        <v>16</v>
      </c>
      <c r="S7" s="25" t="s">
        <v>16</v>
      </c>
      <c r="T7" s="16" t="s">
        <v>16</v>
      </c>
      <c r="U7" s="31" t="s">
        <v>16</v>
      </c>
    </row>
    <row r="8" spans="1:21" ht="12.6" customHeight="1">
      <c r="A8" s="57" t="s">
        <v>294</v>
      </c>
      <c r="B8" s="57" t="s">
        <v>876</v>
      </c>
      <c r="C8" s="16">
        <v>15</v>
      </c>
      <c r="D8" s="18">
        <v>3.5</v>
      </c>
      <c r="E8" s="16">
        <f>C8*1.6</f>
        <v>24</v>
      </c>
      <c r="F8" s="85" t="s">
        <v>130</v>
      </c>
      <c r="G8" s="58">
        <v>0.16</v>
      </c>
      <c r="H8" s="53">
        <v>0.91</v>
      </c>
      <c r="I8" s="16">
        <v>92.5</v>
      </c>
      <c r="J8" s="16" t="s">
        <v>16</v>
      </c>
      <c r="K8" s="31" t="s">
        <v>128</v>
      </c>
      <c r="L8" s="16">
        <f>AVERAGE(1699,1625,1675,1686,2091,1848,2146)</f>
        <v>1824.2857142857142</v>
      </c>
      <c r="M8" s="31" t="s">
        <v>1092</v>
      </c>
      <c r="N8" s="16">
        <f>AVERAGE(2225)</f>
        <v>2225</v>
      </c>
      <c r="O8" s="16" t="s">
        <v>1001</v>
      </c>
      <c r="P8" s="25">
        <v>2395</v>
      </c>
      <c r="Q8" s="16" t="s">
        <v>881</v>
      </c>
      <c r="R8" s="31" t="s">
        <v>29</v>
      </c>
      <c r="S8" s="25" t="s">
        <v>16</v>
      </c>
      <c r="T8" s="16" t="s">
        <v>16</v>
      </c>
      <c r="U8" s="31" t="s">
        <v>16</v>
      </c>
    </row>
    <row r="9" spans="1:21" ht="12.6" customHeight="1">
      <c r="A9" s="57" t="s">
        <v>294</v>
      </c>
      <c r="B9" s="57" t="s">
        <v>383</v>
      </c>
      <c r="C9" s="16">
        <v>16</v>
      </c>
      <c r="D9" s="18">
        <v>2.8</v>
      </c>
      <c r="E9" s="16">
        <f>C9*1.6</f>
        <v>25.6</v>
      </c>
      <c r="F9" s="85" t="s">
        <v>130</v>
      </c>
      <c r="G9" s="58">
        <v>0.3</v>
      </c>
      <c r="H9" s="53" t="s">
        <v>16</v>
      </c>
      <c r="I9" s="16" t="s">
        <v>16</v>
      </c>
      <c r="J9" s="16" t="s">
        <v>16</v>
      </c>
      <c r="K9" s="31" t="s">
        <v>16</v>
      </c>
      <c r="L9" s="25">
        <f>AVERAGE(661,599,645,641,514,621,780,661,595,400)</f>
        <v>611.70000000000005</v>
      </c>
      <c r="M9" s="31" t="s">
        <v>1008</v>
      </c>
      <c r="N9" s="16">
        <f>AVERAGE(985,999,990,965)</f>
        <v>984.75</v>
      </c>
      <c r="O9" s="16" t="s">
        <v>881</v>
      </c>
      <c r="P9" s="25">
        <v>825</v>
      </c>
      <c r="Q9" s="16" t="s">
        <v>881</v>
      </c>
      <c r="R9" s="31" t="s">
        <v>875</v>
      </c>
      <c r="S9" s="25" t="s">
        <v>16</v>
      </c>
      <c r="T9" s="16" t="s">
        <v>16</v>
      </c>
      <c r="U9" s="31" t="s">
        <v>16</v>
      </c>
    </row>
    <row r="10" spans="1:21" ht="12.6" customHeight="1">
      <c r="A10" s="57" t="s">
        <v>294</v>
      </c>
      <c r="B10" s="57" t="s">
        <v>328</v>
      </c>
      <c r="C10" s="16">
        <v>19</v>
      </c>
      <c r="D10" s="18">
        <v>2.8</v>
      </c>
      <c r="E10" s="16">
        <v>30.4</v>
      </c>
      <c r="F10" s="85" t="s">
        <v>130</v>
      </c>
      <c r="G10" s="58">
        <v>0.3</v>
      </c>
      <c r="H10" s="53">
        <v>0.59</v>
      </c>
      <c r="I10" s="16">
        <v>71</v>
      </c>
      <c r="J10" s="16">
        <v>61</v>
      </c>
      <c r="K10" s="31" t="s">
        <v>128</v>
      </c>
      <c r="L10" s="16">
        <f>AVERAGE(897,995,1051,1099,887,1171,912,999)</f>
        <v>1001.375</v>
      </c>
      <c r="M10" s="31" t="s">
        <v>1001</v>
      </c>
      <c r="N10" s="16">
        <f>AVERAGE(1645,1575,1325,1575,1450,1625,1475)</f>
        <v>1524.2857142857142</v>
      </c>
      <c r="O10" s="16" t="s">
        <v>1092</v>
      </c>
      <c r="P10" s="25">
        <v>1078</v>
      </c>
      <c r="Q10" s="16" t="s">
        <v>881</v>
      </c>
      <c r="R10" s="31" t="s">
        <v>875</v>
      </c>
      <c r="S10" s="25">
        <v>1295</v>
      </c>
      <c r="T10" s="16" t="s">
        <v>881</v>
      </c>
      <c r="U10" s="31" t="s">
        <v>28</v>
      </c>
    </row>
    <row r="11" spans="1:21" ht="12.6" customHeight="1">
      <c r="A11" s="59" t="s">
        <v>294</v>
      </c>
      <c r="B11" s="59" t="s">
        <v>131</v>
      </c>
      <c r="C11" s="27">
        <v>21</v>
      </c>
      <c r="D11" s="41">
        <v>4</v>
      </c>
      <c r="E11" s="27">
        <v>33.6</v>
      </c>
      <c r="F11" s="86" t="s">
        <v>130</v>
      </c>
      <c r="G11" s="55" t="s">
        <v>16</v>
      </c>
      <c r="H11" s="56" t="s">
        <v>16</v>
      </c>
      <c r="I11" s="27" t="s">
        <v>16</v>
      </c>
      <c r="J11" s="27" t="s">
        <v>16</v>
      </c>
      <c r="K11" s="33">
        <v>72</v>
      </c>
      <c r="L11" s="27">
        <f>AVERAGE(650,701,535,675,551,780,671,731,679)</f>
        <v>663.66666666666663</v>
      </c>
      <c r="M11" s="27" t="s">
        <v>1092</v>
      </c>
      <c r="N11" s="26">
        <f>AVERAGE(1125,861,880,900,895,828,810,772,851,874)</f>
        <v>879.6</v>
      </c>
      <c r="O11" s="27" t="s">
        <v>813</v>
      </c>
      <c r="P11" s="26">
        <v>625</v>
      </c>
      <c r="Q11" s="27" t="s">
        <v>881</v>
      </c>
      <c r="R11" s="33" t="s">
        <v>29</v>
      </c>
      <c r="S11" s="26">
        <v>725</v>
      </c>
      <c r="T11" s="27" t="s">
        <v>881</v>
      </c>
      <c r="U11" s="33" t="s">
        <v>28</v>
      </c>
    </row>
    <row r="12" spans="1:21" ht="12.6" customHeight="1">
      <c r="A12" s="57" t="s">
        <v>294</v>
      </c>
      <c r="B12" s="87" t="s">
        <v>175</v>
      </c>
      <c r="C12" s="16">
        <v>24</v>
      </c>
      <c r="D12" s="18">
        <v>2.8</v>
      </c>
      <c r="E12" s="16">
        <v>38.4</v>
      </c>
      <c r="F12" s="85" t="s">
        <v>130</v>
      </c>
      <c r="G12" s="58">
        <v>0.3</v>
      </c>
      <c r="H12" s="53">
        <v>0.4</v>
      </c>
      <c r="I12" s="16" t="s">
        <v>16</v>
      </c>
      <c r="J12" s="16" t="s">
        <v>16</v>
      </c>
      <c r="K12" s="31">
        <v>60</v>
      </c>
      <c r="L12" s="40">
        <f>AVERAGE(318,390,450,450,395,445,465,475)</f>
        <v>423.5</v>
      </c>
      <c r="M12" s="83" t="s">
        <v>881</v>
      </c>
      <c r="N12" s="16">
        <f>AVERAGE(669,545,707,567,550,638,645,621,589,770,619)</f>
        <v>629.09090909090912</v>
      </c>
      <c r="O12" s="16" t="s">
        <v>1092</v>
      </c>
      <c r="P12" s="25">
        <v>600</v>
      </c>
      <c r="Q12" s="16" t="s">
        <v>881</v>
      </c>
      <c r="R12" s="31" t="s">
        <v>30</v>
      </c>
      <c r="S12" s="25">
        <v>1090</v>
      </c>
      <c r="T12" s="16" t="s">
        <v>881</v>
      </c>
      <c r="U12" s="31" t="s">
        <v>875</v>
      </c>
    </row>
    <row r="13" spans="1:21" ht="12.6" customHeight="1">
      <c r="A13" s="57" t="s">
        <v>294</v>
      </c>
      <c r="B13" s="57" t="s">
        <v>958</v>
      </c>
      <c r="C13" s="16">
        <v>28</v>
      </c>
      <c r="D13" s="18">
        <v>2.8</v>
      </c>
      <c r="E13" s="16">
        <v>44.8</v>
      </c>
      <c r="F13" s="85" t="s">
        <v>130</v>
      </c>
      <c r="G13" s="58">
        <v>0.3</v>
      </c>
      <c r="H13" s="53">
        <v>0.27500000000000002</v>
      </c>
      <c r="I13" s="16">
        <v>40</v>
      </c>
      <c r="J13" s="16">
        <v>63</v>
      </c>
      <c r="K13" s="31" t="s">
        <v>735</v>
      </c>
      <c r="L13" s="25">
        <f>AVERAGE(540,500,475,441,525,500,419,395,457,462)</f>
        <v>471.4</v>
      </c>
      <c r="M13" s="31" t="s">
        <v>1001</v>
      </c>
      <c r="N13" s="16">
        <f>AVERAGE(625,735,557,719,510,546,720,698,700,725)</f>
        <v>653.5</v>
      </c>
      <c r="O13" s="16" t="s">
        <v>1092</v>
      </c>
      <c r="P13" s="25">
        <f>495*CA.US</f>
        <v>376.2</v>
      </c>
      <c r="Q13" s="16" t="s">
        <v>821</v>
      </c>
      <c r="R13" s="31" t="s">
        <v>35</v>
      </c>
      <c r="S13" s="25" t="s">
        <v>16</v>
      </c>
      <c r="T13" s="16" t="s">
        <v>16</v>
      </c>
      <c r="U13" s="31" t="s">
        <v>16</v>
      </c>
    </row>
    <row r="14" spans="1:21" ht="12.6" customHeight="1">
      <c r="A14" s="57" t="s">
        <v>294</v>
      </c>
      <c r="B14" s="57" t="s">
        <v>959</v>
      </c>
      <c r="C14" s="16">
        <v>28</v>
      </c>
      <c r="D14" s="18">
        <v>2.8</v>
      </c>
      <c r="E14" s="16">
        <v>44.8</v>
      </c>
      <c r="F14" s="85" t="s">
        <v>130</v>
      </c>
      <c r="G14" s="58">
        <v>0.3</v>
      </c>
      <c r="H14" s="53">
        <v>0.435</v>
      </c>
      <c r="I14" s="16">
        <v>48</v>
      </c>
      <c r="J14" s="16">
        <v>67.5</v>
      </c>
      <c r="K14" s="31">
        <v>55</v>
      </c>
      <c r="L14" s="25">
        <f>AVERAGE(1358,1500,1650,1603)</f>
        <v>1527.75</v>
      </c>
      <c r="M14" s="31" t="s">
        <v>862</v>
      </c>
      <c r="N14" s="16">
        <f>AVERAGE(1995,2299,2195,1864,2225)</f>
        <v>2115.6</v>
      </c>
      <c r="O14" s="16" t="s">
        <v>862</v>
      </c>
      <c r="P14" s="25">
        <v>1800</v>
      </c>
      <c r="Q14" s="16" t="s">
        <v>847</v>
      </c>
      <c r="R14" s="31" t="s">
        <v>843</v>
      </c>
      <c r="S14" s="25" t="s">
        <v>16</v>
      </c>
      <c r="T14" s="16" t="s">
        <v>16</v>
      </c>
      <c r="U14" s="31" t="s">
        <v>16</v>
      </c>
    </row>
    <row r="15" spans="1:21" ht="12.6" customHeight="1">
      <c r="A15" s="59" t="s">
        <v>294</v>
      </c>
      <c r="B15" s="59" t="s">
        <v>221</v>
      </c>
      <c r="C15" s="27">
        <v>28</v>
      </c>
      <c r="D15" s="41">
        <v>2.8</v>
      </c>
      <c r="E15" s="27">
        <v>44.8</v>
      </c>
      <c r="F15" s="86" t="s">
        <v>130</v>
      </c>
      <c r="G15" s="55" t="s">
        <v>16</v>
      </c>
      <c r="H15" s="56" t="s">
        <v>16</v>
      </c>
      <c r="I15" s="27" t="s">
        <v>16</v>
      </c>
      <c r="J15" s="27" t="s">
        <v>16</v>
      </c>
      <c r="K15" s="33" t="s">
        <v>16</v>
      </c>
      <c r="L15" s="26">
        <f>AVERAGE(898,1025,1199,1168,1230,1100,1200,1056,1170)</f>
        <v>1116.2222222222222</v>
      </c>
      <c r="M15" s="33" t="s">
        <v>734</v>
      </c>
      <c r="N15" s="27">
        <f>AVERAGE(1925,1399,1450,2089,2295,1375)</f>
        <v>1755.5</v>
      </c>
      <c r="O15" s="27" t="s">
        <v>445</v>
      </c>
      <c r="P15" s="26">
        <v>1495</v>
      </c>
      <c r="Q15" s="27" t="s">
        <v>550</v>
      </c>
      <c r="R15" s="33" t="s">
        <v>548</v>
      </c>
      <c r="S15" s="26">
        <v>1625</v>
      </c>
      <c r="T15" s="27" t="s">
        <v>765</v>
      </c>
      <c r="U15" s="33" t="s">
        <v>28</v>
      </c>
    </row>
    <row r="16" spans="1:21" ht="12.6" customHeight="1">
      <c r="A16" s="57" t="s">
        <v>294</v>
      </c>
      <c r="B16" s="88" t="s">
        <v>149</v>
      </c>
      <c r="C16" s="16">
        <v>35</v>
      </c>
      <c r="D16" s="18">
        <v>1.4</v>
      </c>
      <c r="E16" s="16">
        <v>56</v>
      </c>
      <c r="F16" s="85" t="s">
        <v>130</v>
      </c>
      <c r="G16" s="58">
        <v>0.5</v>
      </c>
      <c r="H16" s="53">
        <v>0.68500000000000005</v>
      </c>
      <c r="I16" s="16">
        <v>76</v>
      </c>
      <c r="J16" s="16">
        <v>75</v>
      </c>
      <c r="K16" s="31">
        <v>67</v>
      </c>
      <c r="L16" s="25">
        <f>AVERAGE(777,910,910,1008,999,1000,930)</f>
        <v>933.42857142857144</v>
      </c>
      <c r="M16" s="31" t="s">
        <v>471</v>
      </c>
      <c r="N16" s="16">
        <f>AVERAGE(3050,2790,2698,2550,2850,2406)</f>
        <v>2724</v>
      </c>
      <c r="O16" s="16" t="s">
        <v>1008</v>
      </c>
      <c r="P16" s="25">
        <v>1400</v>
      </c>
      <c r="Q16" s="16" t="s">
        <v>387</v>
      </c>
      <c r="R16" s="31" t="s">
        <v>32</v>
      </c>
      <c r="S16" s="25">
        <v>1825</v>
      </c>
      <c r="T16" s="16" t="s">
        <v>425</v>
      </c>
      <c r="U16" s="31" t="s">
        <v>28</v>
      </c>
    </row>
    <row r="17" spans="1:21" ht="12.6" customHeight="1">
      <c r="A17" s="57" t="s">
        <v>294</v>
      </c>
      <c r="B17" s="88" t="s">
        <v>384</v>
      </c>
      <c r="C17" s="16">
        <v>35</v>
      </c>
      <c r="D17" s="18">
        <v>2</v>
      </c>
      <c r="E17" s="16">
        <v>56</v>
      </c>
      <c r="F17" s="85" t="s">
        <v>130</v>
      </c>
      <c r="G17" s="58">
        <v>0.3</v>
      </c>
      <c r="H17" s="53">
        <v>0.43</v>
      </c>
      <c r="I17" s="16">
        <v>54</v>
      </c>
      <c r="J17" s="16">
        <v>66</v>
      </c>
      <c r="K17" s="31">
        <v>55</v>
      </c>
      <c r="L17" s="25">
        <f>AVERAGE(605,797,765,738,614,761,700,676,797,738,895)</f>
        <v>735.09090909090912</v>
      </c>
      <c r="M17" s="31" t="s">
        <v>1092</v>
      </c>
      <c r="N17" s="16">
        <f>AVERAGE(960,1099,876,926,977,1051,972,949,898,900,1036,985)</f>
        <v>969.08333333333337</v>
      </c>
      <c r="O17" s="16" t="s">
        <v>837</v>
      </c>
      <c r="P17" s="25">
        <v>775</v>
      </c>
      <c r="Q17" s="16" t="s">
        <v>881</v>
      </c>
      <c r="R17" s="31" t="s">
        <v>28</v>
      </c>
      <c r="S17" s="25">
        <v>595</v>
      </c>
      <c r="T17" s="16" t="s">
        <v>398</v>
      </c>
      <c r="U17" s="31" t="s">
        <v>393</v>
      </c>
    </row>
    <row r="18" spans="1:21" ht="12.6" customHeight="1">
      <c r="A18" s="57" t="s">
        <v>294</v>
      </c>
      <c r="B18" s="88" t="s">
        <v>960</v>
      </c>
      <c r="C18" s="16">
        <v>35</v>
      </c>
      <c r="D18" s="18">
        <v>2</v>
      </c>
      <c r="E18" s="16">
        <v>56</v>
      </c>
      <c r="F18" s="85" t="s">
        <v>130</v>
      </c>
      <c r="G18" s="58">
        <v>0.3</v>
      </c>
      <c r="H18" s="53">
        <v>0.43</v>
      </c>
      <c r="I18" s="16">
        <v>54</v>
      </c>
      <c r="J18" s="16">
        <v>66</v>
      </c>
      <c r="K18" s="31">
        <v>55</v>
      </c>
      <c r="L18" s="25">
        <f>AVERAGE(820,874,995,865,895,907,995,1025,925,973)</f>
        <v>927.4</v>
      </c>
      <c r="M18" s="31" t="s">
        <v>1001</v>
      </c>
      <c r="N18" s="16">
        <f>AVERAGE(1249,1200,975,1345,1088,1095,1365,1160,1045,1150)</f>
        <v>1167.2</v>
      </c>
      <c r="O18" s="16" t="s">
        <v>1001</v>
      </c>
      <c r="P18" s="25">
        <v>975</v>
      </c>
      <c r="Q18" s="16" t="s">
        <v>862</v>
      </c>
      <c r="R18" s="31" t="s">
        <v>28</v>
      </c>
      <c r="S18" s="25">
        <v>975</v>
      </c>
      <c r="T18" s="16" t="s">
        <v>821</v>
      </c>
      <c r="U18" s="31" t="s">
        <v>28</v>
      </c>
    </row>
    <row r="19" spans="1:21" ht="12.6" customHeight="1">
      <c r="A19" s="57" t="s">
        <v>294</v>
      </c>
      <c r="B19" s="88" t="s">
        <v>385</v>
      </c>
      <c r="C19" s="16">
        <v>35</v>
      </c>
      <c r="D19" s="18">
        <v>2.8</v>
      </c>
      <c r="E19" s="16">
        <v>56</v>
      </c>
      <c r="F19" s="85" t="s">
        <v>130</v>
      </c>
      <c r="G19" s="58">
        <v>0.3</v>
      </c>
      <c r="H19" s="53">
        <v>0.41</v>
      </c>
      <c r="I19" s="16">
        <v>40</v>
      </c>
      <c r="J19" s="16">
        <v>63</v>
      </c>
      <c r="K19" s="31" t="s">
        <v>380</v>
      </c>
      <c r="L19" s="25">
        <f>AVERAGE(325,370,444,350,350,300,311,378)</f>
        <v>353.5</v>
      </c>
      <c r="M19" s="31" t="s">
        <v>1008</v>
      </c>
      <c r="N19" s="16">
        <f>AVERAGE(515,508,610,475,496,425,504,456,531)</f>
        <v>502.22222222222223</v>
      </c>
      <c r="O19" s="16" t="s">
        <v>1001</v>
      </c>
      <c r="P19" s="25">
        <v>395</v>
      </c>
      <c r="Q19" s="16" t="s">
        <v>881</v>
      </c>
      <c r="R19" s="31" t="s">
        <v>28</v>
      </c>
      <c r="S19" s="25">
        <v>595</v>
      </c>
      <c r="T19" s="16" t="s">
        <v>550</v>
      </c>
      <c r="U19" s="31" t="s">
        <v>548</v>
      </c>
    </row>
    <row r="20" spans="1:21" ht="12.6" customHeight="1">
      <c r="A20" s="59" t="s">
        <v>294</v>
      </c>
      <c r="B20" s="59" t="s">
        <v>381</v>
      </c>
      <c r="C20" s="27">
        <v>35</v>
      </c>
      <c r="D20" s="41">
        <v>2.8</v>
      </c>
      <c r="E20" s="27">
        <v>56</v>
      </c>
      <c r="F20" s="86" t="s">
        <v>130</v>
      </c>
      <c r="G20" s="55">
        <v>0.3</v>
      </c>
      <c r="H20" s="56">
        <v>0.30499999999999999</v>
      </c>
      <c r="I20" s="27">
        <v>41.5</v>
      </c>
      <c r="J20" s="27">
        <v>66</v>
      </c>
      <c r="K20" s="33">
        <v>55</v>
      </c>
      <c r="L20" s="26">
        <f>AVERAGE(455,475,430,387,456)</f>
        <v>440.6</v>
      </c>
      <c r="M20" s="33" t="s">
        <v>1092</v>
      </c>
      <c r="N20" s="27">
        <f>AVERAGE(650,503,498,490,550,510,600,575,511)</f>
        <v>543</v>
      </c>
      <c r="O20" s="27" t="s">
        <v>821</v>
      </c>
      <c r="P20" s="26">
        <v>600</v>
      </c>
      <c r="Q20" s="27" t="s">
        <v>765</v>
      </c>
      <c r="R20" s="33" t="s">
        <v>32</v>
      </c>
      <c r="S20" s="26">
        <v>625</v>
      </c>
      <c r="T20" s="27" t="s">
        <v>862</v>
      </c>
      <c r="U20" s="33" t="s">
        <v>28</v>
      </c>
    </row>
    <row r="21" spans="1:21" ht="12.6" customHeight="1">
      <c r="A21" s="57" t="s">
        <v>294</v>
      </c>
      <c r="B21" s="88" t="s">
        <v>429</v>
      </c>
      <c r="C21" s="16">
        <v>50</v>
      </c>
      <c r="D21" s="18">
        <v>1.4</v>
      </c>
      <c r="E21" s="16">
        <v>80</v>
      </c>
      <c r="F21" s="85" t="s">
        <v>130</v>
      </c>
      <c r="G21" s="58">
        <v>0.5</v>
      </c>
      <c r="H21" s="53">
        <v>0.49</v>
      </c>
      <c r="I21" s="16">
        <v>51</v>
      </c>
      <c r="J21" s="16">
        <v>70</v>
      </c>
      <c r="K21" s="31">
        <v>60</v>
      </c>
      <c r="L21" s="16">
        <f>AVERAGE(878,950,920,899,841,899,975,945,810,941)</f>
        <v>905.8</v>
      </c>
      <c r="M21" s="16" t="s">
        <v>1092</v>
      </c>
      <c r="N21" s="25">
        <f>AVERAGE(1148,1190,1158,1000,1080,1300,1299,1035,1025,1035,1124)</f>
        <v>1126.7272727272727</v>
      </c>
      <c r="O21" s="16" t="s">
        <v>1092</v>
      </c>
      <c r="P21" s="25">
        <v>1060</v>
      </c>
      <c r="Q21" s="16" t="s">
        <v>821</v>
      </c>
      <c r="R21" s="31" t="s">
        <v>33</v>
      </c>
      <c r="S21" s="25">
        <v>1275</v>
      </c>
      <c r="T21" s="16" t="s">
        <v>881</v>
      </c>
      <c r="U21" s="31" t="s">
        <v>28</v>
      </c>
    </row>
    <row r="22" spans="1:21" s="161" customFormat="1" ht="12.6" customHeight="1">
      <c r="A22" s="161" t="s">
        <v>294</v>
      </c>
      <c r="B22" s="161" t="s">
        <v>401</v>
      </c>
      <c r="C22" s="142">
        <v>50</v>
      </c>
      <c r="D22" s="219">
        <v>2</v>
      </c>
      <c r="E22" s="141">
        <v>80</v>
      </c>
      <c r="F22" s="215" t="s">
        <v>130</v>
      </c>
      <c r="G22" s="215">
        <v>0.5</v>
      </c>
      <c r="H22" s="216">
        <v>0.28999999999999998</v>
      </c>
      <c r="I22" s="141">
        <v>41</v>
      </c>
      <c r="J22" s="141">
        <v>66</v>
      </c>
      <c r="K22" s="204">
        <v>55</v>
      </c>
      <c r="L22" s="203">
        <f>AVERAGE(372,367,415,380,355,375,390,379,395,445,400,460)</f>
        <v>394.41666666666669</v>
      </c>
      <c r="M22" s="204" t="s">
        <v>1092</v>
      </c>
      <c r="N22" s="203">
        <f>AVERAGE(449,659,585,580,585,579,494,448,541,598,500)</f>
        <v>547.09090909090912</v>
      </c>
      <c r="O22" s="142" t="s">
        <v>1092</v>
      </c>
      <c r="P22" s="220">
        <v>350</v>
      </c>
      <c r="Q22" s="142" t="s">
        <v>881</v>
      </c>
      <c r="R22" s="186" t="s">
        <v>32</v>
      </c>
      <c r="S22" s="220">
        <v>425</v>
      </c>
      <c r="T22" s="142" t="s">
        <v>881</v>
      </c>
      <c r="U22" s="204" t="s">
        <v>28</v>
      </c>
    </row>
    <row r="23" spans="1:21" ht="12.6" customHeight="1">
      <c r="A23" s="59" t="s">
        <v>294</v>
      </c>
      <c r="B23" s="59" t="s">
        <v>392</v>
      </c>
      <c r="C23" s="27">
        <v>60</v>
      </c>
      <c r="D23" s="41">
        <v>2.8</v>
      </c>
      <c r="E23" s="27">
        <v>96</v>
      </c>
      <c r="F23" s="86" t="s">
        <v>130</v>
      </c>
      <c r="G23" s="55">
        <v>0.27</v>
      </c>
      <c r="H23" s="56">
        <v>0.4</v>
      </c>
      <c r="I23" s="27">
        <v>62.3</v>
      </c>
      <c r="J23" s="27">
        <v>67.5</v>
      </c>
      <c r="K23" s="33">
        <v>55</v>
      </c>
      <c r="L23" s="27">
        <f>AVERAGE(404,477,539,324,439,341,450,486,421)</f>
        <v>431.22222222222223</v>
      </c>
      <c r="M23" s="27" t="s">
        <v>1092</v>
      </c>
      <c r="N23" s="26">
        <f>AVERAGE(585,650,680,586,770,640,626,590,575,642)</f>
        <v>634.4</v>
      </c>
      <c r="O23" s="27" t="s">
        <v>1001</v>
      </c>
      <c r="P23" s="26">
        <v>490</v>
      </c>
      <c r="Q23" s="27" t="s">
        <v>881</v>
      </c>
      <c r="R23" s="33" t="s">
        <v>875</v>
      </c>
      <c r="S23" s="26">
        <v>750</v>
      </c>
      <c r="T23" s="27" t="s">
        <v>862</v>
      </c>
      <c r="U23" s="33" t="s">
        <v>29</v>
      </c>
    </row>
    <row r="24" spans="1:21" ht="12.6" customHeight="1">
      <c r="A24" s="57" t="s">
        <v>294</v>
      </c>
      <c r="B24" s="88" t="s">
        <v>961</v>
      </c>
      <c r="C24" s="16">
        <v>80</v>
      </c>
      <c r="D24" s="18">
        <v>1.4</v>
      </c>
      <c r="E24" s="16">
        <v>128</v>
      </c>
      <c r="F24" s="85" t="s">
        <v>130</v>
      </c>
      <c r="G24" s="58">
        <v>0.8</v>
      </c>
      <c r="H24" s="53">
        <v>0.7</v>
      </c>
      <c r="I24" s="16">
        <v>69</v>
      </c>
      <c r="J24" s="16">
        <v>75</v>
      </c>
      <c r="K24" s="31">
        <v>67</v>
      </c>
      <c r="L24" s="16">
        <f>AVERAGE(1799,1525,1625,1728,1691,1395,1629,1734,1850)</f>
        <v>1664</v>
      </c>
      <c r="M24" s="16" t="s">
        <v>1008</v>
      </c>
      <c r="N24" s="40">
        <f>AVERAGE(1995,2030,2195,1890,1825,2100,2250,2195,2345,2395,2200)</f>
        <v>2129.090909090909</v>
      </c>
      <c r="O24" s="83" t="s">
        <v>1092</v>
      </c>
      <c r="P24" s="25">
        <v>2572</v>
      </c>
      <c r="Q24" s="16" t="s">
        <v>821</v>
      </c>
      <c r="R24" s="31" t="s">
        <v>30</v>
      </c>
      <c r="S24" s="25">
        <v>1845</v>
      </c>
      <c r="T24" s="16" t="s">
        <v>745</v>
      </c>
      <c r="U24" s="31" t="s">
        <v>28</v>
      </c>
    </row>
    <row r="25" spans="1:21" ht="12.6" customHeight="1">
      <c r="A25" s="57" t="s">
        <v>294</v>
      </c>
      <c r="B25" s="88" t="s">
        <v>403</v>
      </c>
      <c r="C25" s="16">
        <v>90</v>
      </c>
      <c r="D25" s="18">
        <v>2</v>
      </c>
      <c r="E25" s="16">
        <v>144</v>
      </c>
      <c r="F25" s="85" t="s">
        <v>130</v>
      </c>
      <c r="G25" s="58">
        <v>0.7</v>
      </c>
      <c r="H25" s="53">
        <v>0.52</v>
      </c>
      <c r="I25" s="16">
        <v>61</v>
      </c>
      <c r="J25" s="16">
        <v>69</v>
      </c>
      <c r="K25" s="31">
        <v>55</v>
      </c>
      <c r="L25" s="16">
        <f>AVERAGE(549,510,535,459,533,585,650,590,585)</f>
        <v>555.11111111111109</v>
      </c>
      <c r="M25" s="36" t="s">
        <v>1092</v>
      </c>
      <c r="N25" s="25">
        <f>AVERAGE(890,785,660,980,995,875,899,850,795,975)</f>
        <v>870.4</v>
      </c>
      <c r="O25" s="31" t="s">
        <v>1092</v>
      </c>
      <c r="P25" s="25">
        <v>715</v>
      </c>
      <c r="Q25" s="16" t="s">
        <v>881</v>
      </c>
      <c r="R25" s="31" t="s">
        <v>875</v>
      </c>
      <c r="S25" s="25">
        <v>850</v>
      </c>
      <c r="T25" s="16" t="s">
        <v>821</v>
      </c>
      <c r="U25" s="31" t="s">
        <v>28</v>
      </c>
    </row>
    <row r="26" spans="1:21" ht="12.6" customHeight="1">
      <c r="A26" s="57" t="s">
        <v>294</v>
      </c>
      <c r="B26" s="88" t="s">
        <v>477</v>
      </c>
      <c r="C26" s="16">
        <v>90</v>
      </c>
      <c r="D26" s="18">
        <v>2</v>
      </c>
      <c r="E26" s="16">
        <v>144</v>
      </c>
      <c r="F26" s="85" t="s">
        <v>130</v>
      </c>
      <c r="G26" s="58">
        <v>0.7</v>
      </c>
      <c r="H26" s="53">
        <v>0.52</v>
      </c>
      <c r="I26" s="16">
        <v>59</v>
      </c>
      <c r="J26" s="16">
        <v>70</v>
      </c>
      <c r="K26" s="31">
        <v>60</v>
      </c>
      <c r="L26" s="16">
        <f>AVERAGE(1605)</f>
        <v>1605</v>
      </c>
      <c r="M26" s="16" t="s">
        <v>765</v>
      </c>
      <c r="N26" s="25">
        <f>AVERAGE(2528,3950,3295,3410,3250,2997,3397,4500,5045,3145,3622,3005)</f>
        <v>3512</v>
      </c>
      <c r="O26" s="31" t="s">
        <v>1001</v>
      </c>
      <c r="P26" s="25">
        <v>4500</v>
      </c>
      <c r="Q26" s="16" t="s">
        <v>560</v>
      </c>
      <c r="R26" s="31" t="s">
        <v>386</v>
      </c>
      <c r="S26" s="25">
        <v>4620</v>
      </c>
      <c r="T26" s="16" t="s">
        <v>881</v>
      </c>
      <c r="U26" s="31" t="s">
        <v>875</v>
      </c>
    </row>
    <row r="27" spans="1:21" s="161" customFormat="1" ht="12.6" customHeight="1">
      <c r="A27" s="161" t="s">
        <v>294</v>
      </c>
      <c r="B27" s="161" t="s">
        <v>400</v>
      </c>
      <c r="C27" s="142">
        <v>90</v>
      </c>
      <c r="D27" s="219">
        <v>2.8</v>
      </c>
      <c r="E27" s="141">
        <v>144</v>
      </c>
      <c r="F27" s="215" t="s">
        <v>130</v>
      </c>
      <c r="G27" s="215">
        <v>0.7</v>
      </c>
      <c r="H27" s="216">
        <v>0.45</v>
      </c>
      <c r="I27" s="141">
        <v>57</v>
      </c>
      <c r="J27" s="141">
        <v>67</v>
      </c>
      <c r="K27" s="204">
        <v>55</v>
      </c>
      <c r="L27" s="203">
        <f>AVERAGE(427,343,355,400,377,368,365,435,460,400)</f>
        <v>393</v>
      </c>
      <c r="M27" s="204" t="s">
        <v>1092</v>
      </c>
      <c r="N27" s="203">
        <f>AVERAGE(550,561,502,545,500,745,527,613,680,493,607)</f>
        <v>574.81818181818187</v>
      </c>
      <c r="O27" s="142" t="s">
        <v>1092</v>
      </c>
      <c r="P27" s="220">
        <v>465</v>
      </c>
      <c r="Q27" s="142" t="s">
        <v>821</v>
      </c>
      <c r="R27" s="186" t="s">
        <v>28</v>
      </c>
      <c r="S27" s="220">
        <v>685</v>
      </c>
      <c r="T27" s="142" t="s">
        <v>881</v>
      </c>
      <c r="U27" s="204" t="s">
        <v>875</v>
      </c>
    </row>
    <row r="28" spans="1:21" ht="12.6" customHeight="1">
      <c r="A28" s="143" t="s">
        <v>294</v>
      </c>
      <c r="B28" s="88" t="s">
        <v>817</v>
      </c>
      <c r="C28" s="16">
        <v>100</v>
      </c>
      <c r="D28" s="18">
        <v>2.8</v>
      </c>
      <c r="E28" s="16">
        <v>160</v>
      </c>
      <c r="F28" s="85" t="s">
        <v>130</v>
      </c>
      <c r="G28" s="58">
        <v>0.45</v>
      </c>
      <c r="H28" s="53">
        <v>0.76</v>
      </c>
      <c r="I28" s="16">
        <v>104.5</v>
      </c>
      <c r="J28" s="16">
        <v>73</v>
      </c>
      <c r="K28" s="31">
        <v>60</v>
      </c>
      <c r="L28" s="16">
        <f>AVERAGE(1400,1417,1076,1399,1149,1499,1437,1399,1599,1519,1550)</f>
        <v>1404</v>
      </c>
      <c r="M28" s="36" t="s">
        <v>1001</v>
      </c>
      <c r="N28" s="25">
        <f>AVERAGE(1799,1620,1845,1748,1948,1998,1700,2198,1998)</f>
        <v>1872.6666666666667</v>
      </c>
      <c r="O28" s="31" t="s">
        <v>1092</v>
      </c>
      <c r="P28" s="25">
        <v>1395</v>
      </c>
      <c r="Q28" s="16" t="s">
        <v>862</v>
      </c>
      <c r="R28" s="31" t="s">
        <v>29</v>
      </c>
      <c r="S28" s="25">
        <v>1845</v>
      </c>
      <c r="T28" s="16" t="s">
        <v>881</v>
      </c>
      <c r="U28" s="31" t="s">
        <v>28</v>
      </c>
    </row>
    <row r="29" spans="1:21" ht="12.6" customHeight="1">
      <c r="A29" s="57" t="s">
        <v>294</v>
      </c>
      <c r="B29" s="88" t="s">
        <v>818</v>
      </c>
      <c r="C29" s="16">
        <v>100</v>
      </c>
      <c r="D29" s="18">
        <v>4</v>
      </c>
      <c r="E29" s="16">
        <v>160</v>
      </c>
      <c r="F29" s="85" t="s">
        <v>130</v>
      </c>
      <c r="G29" s="58" t="s">
        <v>16</v>
      </c>
      <c r="H29" s="53" t="s">
        <v>16</v>
      </c>
      <c r="I29" s="16" t="s">
        <v>16</v>
      </c>
      <c r="J29" s="16" t="s">
        <v>16</v>
      </c>
      <c r="K29" s="31">
        <v>55</v>
      </c>
      <c r="L29" s="16">
        <f>AVERAGE(388,304,269,300,380,261,365,333,316,378)</f>
        <v>329.4</v>
      </c>
      <c r="M29" s="36" t="s">
        <v>1008</v>
      </c>
      <c r="N29" s="25">
        <f>AVERAGE(430,485,473,475,469,579,599,441)</f>
        <v>493.875</v>
      </c>
      <c r="O29" s="31" t="s">
        <v>1092</v>
      </c>
      <c r="P29" s="25">
        <v>350</v>
      </c>
      <c r="Q29" s="16" t="s">
        <v>821</v>
      </c>
      <c r="R29" s="31" t="s">
        <v>33</v>
      </c>
      <c r="S29" s="25" t="s">
        <v>16</v>
      </c>
      <c r="T29" s="16" t="s">
        <v>16</v>
      </c>
      <c r="U29" s="31" t="s">
        <v>16</v>
      </c>
    </row>
    <row r="30" spans="1:21" ht="12.6" customHeight="1">
      <c r="A30" s="59" t="s">
        <v>294</v>
      </c>
      <c r="B30" s="59" t="s">
        <v>397</v>
      </c>
      <c r="C30" s="27">
        <v>135</v>
      </c>
      <c r="D30" s="41">
        <v>2.8</v>
      </c>
      <c r="E30" s="27">
        <v>216</v>
      </c>
      <c r="F30" s="86" t="s">
        <v>130</v>
      </c>
      <c r="G30" s="55">
        <v>1.5</v>
      </c>
      <c r="H30" s="56">
        <v>0.73</v>
      </c>
      <c r="I30" s="27">
        <v>93</v>
      </c>
      <c r="J30" s="27">
        <v>67</v>
      </c>
      <c r="K30" s="33">
        <v>55</v>
      </c>
      <c r="L30" s="27">
        <f>AVERAGE(213,214,263,203,228,253,251,246,225,213)</f>
        <v>230.9</v>
      </c>
      <c r="M30" s="27" t="s">
        <v>1092</v>
      </c>
      <c r="N30" s="26">
        <f>AVERAGE(300,400,325,475,285,300,350,350,380)</f>
        <v>351.66666666666669</v>
      </c>
      <c r="O30" s="33" t="s">
        <v>1001</v>
      </c>
      <c r="P30" s="26">
        <f>325*CA.US</f>
        <v>247</v>
      </c>
      <c r="Q30" s="27" t="s">
        <v>881</v>
      </c>
      <c r="R30" s="33" t="s">
        <v>35</v>
      </c>
      <c r="S30" s="26">
        <v>420</v>
      </c>
      <c r="T30" s="27" t="s">
        <v>881</v>
      </c>
      <c r="U30" s="33" t="s">
        <v>28</v>
      </c>
    </row>
    <row r="31" spans="1:21" ht="12.6" customHeight="1">
      <c r="A31" s="57" t="s">
        <v>294</v>
      </c>
      <c r="B31" s="88" t="s">
        <v>388</v>
      </c>
      <c r="C31" s="16">
        <v>180</v>
      </c>
      <c r="D31" s="18">
        <v>2</v>
      </c>
      <c r="E31" s="16">
        <v>288</v>
      </c>
      <c r="F31" s="85" t="s">
        <v>130</v>
      </c>
      <c r="G31" s="58">
        <v>1.5</v>
      </c>
      <c r="H31" s="53">
        <v>2.5</v>
      </c>
      <c r="I31" s="16">
        <v>175</v>
      </c>
      <c r="J31" s="16">
        <v>117</v>
      </c>
      <c r="K31" s="31">
        <v>100</v>
      </c>
      <c r="L31" s="40">
        <f>AVERAGE(3353,3655,3700,4000,3038)</f>
        <v>3549.2</v>
      </c>
      <c r="M31" s="83" t="s">
        <v>826</v>
      </c>
      <c r="N31" s="16">
        <f>AVERAGE(6995,6250,6450,5450,5500)</f>
        <v>6129</v>
      </c>
      <c r="O31" s="16" t="s">
        <v>1001</v>
      </c>
      <c r="P31" s="25">
        <v>3200</v>
      </c>
      <c r="Q31" s="16" t="s">
        <v>405</v>
      </c>
      <c r="R31" s="31" t="s">
        <v>446</v>
      </c>
      <c r="S31" s="25">
        <v>4495</v>
      </c>
      <c r="T31" s="16" t="s">
        <v>468</v>
      </c>
      <c r="U31" s="31" t="s">
        <v>29</v>
      </c>
    </row>
    <row r="32" spans="1:21" ht="12.6" customHeight="1">
      <c r="A32" s="57" t="s">
        <v>294</v>
      </c>
      <c r="B32" s="88" t="s">
        <v>389</v>
      </c>
      <c r="C32" s="16">
        <v>180</v>
      </c>
      <c r="D32" s="18">
        <v>2.8</v>
      </c>
      <c r="E32" s="16">
        <v>288</v>
      </c>
      <c r="F32" s="85" t="s">
        <v>130</v>
      </c>
      <c r="G32" s="58">
        <v>2</v>
      </c>
      <c r="H32" s="53">
        <v>0.97</v>
      </c>
      <c r="I32" s="16">
        <v>132</v>
      </c>
      <c r="J32" s="16">
        <v>76</v>
      </c>
      <c r="K32" s="31">
        <v>67</v>
      </c>
      <c r="L32" s="25">
        <f>AVERAGE(2646,2800,2400)</f>
        <v>2615.3333333333335</v>
      </c>
      <c r="M32" s="31" t="s">
        <v>560</v>
      </c>
      <c r="N32" s="16">
        <f>AVERAGE(3150,3000,3549,3499,3910,4138,3395,3559)</f>
        <v>3525</v>
      </c>
      <c r="O32" s="16" t="s">
        <v>863</v>
      </c>
      <c r="P32" s="25">
        <v>2100</v>
      </c>
      <c r="Q32" s="16" t="s">
        <v>483</v>
      </c>
      <c r="R32" s="31" t="s">
        <v>395</v>
      </c>
      <c r="S32" s="25">
        <v>3395</v>
      </c>
      <c r="T32" s="16" t="s">
        <v>471</v>
      </c>
      <c r="U32" s="31" t="s">
        <v>28</v>
      </c>
    </row>
    <row r="33" spans="1:21" ht="12.6" customHeight="1">
      <c r="A33" s="57" t="s">
        <v>294</v>
      </c>
      <c r="B33" s="88" t="s">
        <v>390</v>
      </c>
      <c r="C33" s="16">
        <v>180</v>
      </c>
      <c r="D33" s="18">
        <v>2.8</v>
      </c>
      <c r="E33" s="16">
        <v>288</v>
      </c>
      <c r="F33" s="85" t="s">
        <v>130</v>
      </c>
      <c r="G33" s="58">
        <v>1.8</v>
      </c>
      <c r="H33" s="53">
        <v>0.81</v>
      </c>
      <c r="I33" s="16">
        <v>121</v>
      </c>
      <c r="J33" s="16">
        <v>75</v>
      </c>
      <c r="K33" s="31" t="s">
        <v>382</v>
      </c>
      <c r="L33" s="25">
        <f>AVERAGE(380,336,324,380,350,388,400,360,411,330,350,360)</f>
        <v>364.08333333333331</v>
      </c>
      <c r="M33" s="31" t="s">
        <v>1092</v>
      </c>
      <c r="N33" s="16">
        <f>AVERAGE(500,555,645,675,610,450,526,561,600,595,519)</f>
        <v>566.90909090909088</v>
      </c>
      <c r="O33" s="16" t="s">
        <v>1092</v>
      </c>
      <c r="P33" s="25">
        <v>385</v>
      </c>
      <c r="Q33" s="16" t="s">
        <v>881</v>
      </c>
      <c r="R33" s="31" t="s">
        <v>875</v>
      </c>
      <c r="S33" s="25">
        <v>500</v>
      </c>
      <c r="T33" s="16" t="s">
        <v>881</v>
      </c>
      <c r="U33" s="31" t="s">
        <v>32</v>
      </c>
    </row>
    <row r="34" spans="1:21" ht="12.6" customHeight="1">
      <c r="A34" s="57" t="s">
        <v>294</v>
      </c>
      <c r="B34" s="88" t="s">
        <v>404</v>
      </c>
      <c r="C34" s="16">
        <v>180</v>
      </c>
      <c r="D34" s="18">
        <v>3.4</v>
      </c>
      <c r="E34" s="16">
        <v>288</v>
      </c>
      <c r="F34" s="85" t="s">
        <v>130</v>
      </c>
      <c r="G34" s="58">
        <v>2.5</v>
      </c>
      <c r="H34" s="53">
        <v>0.75</v>
      </c>
      <c r="I34" s="16">
        <v>133</v>
      </c>
      <c r="J34" s="16">
        <v>67</v>
      </c>
      <c r="K34" s="31">
        <v>60</v>
      </c>
      <c r="L34" s="25">
        <f>AVERAGE(693,795,601,657,717,725,850,706,820,781,780)</f>
        <v>738.63636363636363</v>
      </c>
      <c r="M34" s="31" t="s">
        <v>1008</v>
      </c>
      <c r="N34" s="16">
        <f>AVERAGE(1029,1145,1225,1160,1118,998,1020,1042,960,995,1001)</f>
        <v>1063</v>
      </c>
      <c r="O34" s="16" t="s">
        <v>1001</v>
      </c>
      <c r="P34" s="25">
        <v>915</v>
      </c>
      <c r="Q34" s="16" t="s">
        <v>881</v>
      </c>
      <c r="R34" s="31" t="s">
        <v>875</v>
      </c>
      <c r="S34" s="25">
        <v>1125</v>
      </c>
      <c r="T34" s="16" t="s">
        <v>821</v>
      </c>
      <c r="U34" s="31" t="s">
        <v>28</v>
      </c>
    </row>
    <row r="35" spans="1:21" ht="12.6" customHeight="1">
      <c r="A35" s="57" t="s">
        <v>294</v>
      </c>
      <c r="B35" s="88" t="s">
        <v>962</v>
      </c>
      <c r="C35" s="16">
        <v>180</v>
      </c>
      <c r="D35" s="18">
        <v>4</v>
      </c>
      <c r="E35" s="16">
        <v>288</v>
      </c>
      <c r="F35" s="85" t="s">
        <v>130</v>
      </c>
      <c r="G35" s="58">
        <v>1.8</v>
      </c>
      <c r="H35" s="53">
        <v>0.55000000000000004</v>
      </c>
      <c r="I35" s="16">
        <v>100</v>
      </c>
      <c r="J35" s="16">
        <v>65.5</v>
      </c>
      <c r="K35" s="31">
        <v>55</v>
      </c>
      <c r="L35" s="25">
        <f>AVERAGE(269,270,319,346,225,281,270,325,340,258)</f>
        <v>290.3</v>
      </c>
      <c r="M35" s="31" t="s">
        <v>881</v>
      </c>
      <c r="N35" s="16">
        <f>AVERAGE(358,323,650,500,509,449,476,385,420)</f>
        <v>452.22222222222223</v>
      </c>
      <c r="O35" s="16" t="s">
        <v>1092</v>
      </c>
      <c r="P35" s="25">
        <v>350</v>
      </c>
      <c r="Q35" s="16" t="s">
        <v>881</v>
      </c>
      <c r="R35" s="31" t="s">
        <v>875</v>
      </c>
      <c r="S35" s="25">
        <v>495</v>
      </c>
      <c r="T35" s="16" t="s">
        <v>560</v>
      </c>
      <c r="U35" s="31" t="s">
        <v>29</v>
      </c>
    </row>
    <row r="36" spans="1:21" ht="12" customHeight="1">
      <c r="A36" s="57" t="s">
        <v>294</v>
      </c>
      <c r="B36" s="278" t="s">
        <v>391</v>
      </c>
      <c r="C36" s="16">
        <v>250</v>
      </c>
      <c r="D36" s="18">
        <v>4</v>
      </c>
      <c r="E36" s="16">
        <v>400</v>
      </c>
      <c r="F36" s="85" t="s">
        <v>130</v>
      </c>
      <c r="G36" s="58">
        <v>4</v>
      </c>
      <c r="H36" s="53">
        <v>0.49</v>
      </c>
      <c r="I36" s="16" t="s">
        <v>16</v>
      </c>
      <c r="J36" s="16">
        <v>77.5</v>
      </c>
      <c r="K36" s="31" t="s">
        <v>394</v>
      </c>
      <c r="L36" s="25">
        <f>AVERAGE(257,305,360,339,300,243,334,285)</f>
        <v>302.875</v>
      </c>
      <c r="M36" s="31" t="s">
        <v>1092</v>
      </c>
      <c r="N36" s="16">
        <f>AVERAGE(495,495,372,455,425,510,775,480,575,550,567)</f>
        <v>518.09090909090912</v>
      </c>
      <c r="O36" s="16" t="s">
        <v>881</v>
      </c>
      <c r="P36" s="25">
        <f>325*CA.US</f>
        <v>247</v>
      </c>
      <c r="Q36" s="16" t="s">
        <v>862</v>
      </c>
      <c r="R36" s="31" t="s">
        <v>35</v>
      </c>
      <c r="S36" s="25">
        <v>450</v>
      </c>
      <c r="T36" s="16" t="s">
        <v>881</v>
      </c>
      <c r="U36" s="31" t="s">
        <v>875</v>
      </c>
    </row>
    <row r="37" spans="1:21" ht="12.6" customHeight="1">
      <c r="A37" s="57" t="s">
        <v>294</v>
      </c>
      <c r="B37" s="88" t="s">
        <v>963</v>
      </c>
      <c r="C37" s="16">
        <v>280</v>
      </c>
      <c r="D37" s="18">
        <v>2.8</v>
      </c>
      <c r="E37" s="16">
        <v>448</v>
      </c>
      <c r="F37" s="85" t="s">
        <v>130</v>
      </c>
      <c r="G37" s="58" t="s">
        <v>16</v>
      </c>
      <c r="H37" s="53" t="s">
        <v>16</v>
      </c>
      <c r="I37" s="16" t="s">
        <v>16</v>
      </c>
      <c r="J37" s="16" t="s">
        <v>16</v>
      </c>
      <c r="K37" s="31" t="s">
        <v>16</v>
      </c>
      <c r="L37" s="25">
        <f>AVERAGE(2000,2199,2299,2311,2100,2200,2199,2250,1825,1876,2043)</f>
        <v>2118.3636363636365</v>
      </c>
      <c r="M37" s="31" t="s">
        <v>1092</v>
      </c>
      <c r="N37" s="16">
        <f>AVERAGE(2500,3150,2606,3210,2908,3850,3250,3199)</f>
        <v>3084.125</v>
      </c>
      <c r="O37" s="16" t="s">
        <v>1092</v>
      </c>
      <c r="P37" s="25">
        <v>3050</v>
      </c>
      <c r="Q37" s="16" t="s">
        <v>677</v>
      </c>
      <c r="R37" s="31" t="s">
        <v>33</v>
      </c>
      <c r="S37" s="25">
        <v>6795</v>
      </c>
      <c r="T37" s="16" t="s">
        <v>421</v>
      </c>
      <c r="U37" s="31" t="s">
        <v>29</v>
      </c>
    </row>
    <row r="38" spans="1:21" ht="12.6" customHeight="1">
      <c r="A38" s="59" t="s">
        <v>294</v>
      </c>
      <c r="B38" s="59" t="s">
        <v>422</v>
      </c>
      <c r="C38" s="27">
        <v>280</v>
      </c>
      <c r="D38" s="41">
        <v>4</v>
      </c>
      <c r="E38" s="27">
        <v>448</v>
      </c>
      <c r="F38" s="86" t="s">
        <v>130</v>
      </c>
      <c r="G38" s="55">
        <v>1.7</v>
      </c>
      <c r="H38" s="56">
        <v>1.875</v>
      </c>
      <c r="I38" s="27">
        <v>208</v>
      </c>
      <c r="J38" s="27">
        <v>88</v>
      </c>
      <c r="K38" s="33">
        <v>77</v>
      </c>
      <c r="L38" s="26">
        <f>AVERAGE(1849)</f>
        <v>1849</v>
      </c>
      <c r="M38" s="33" t="s">
        <v>508</v>
      </c>
      <c r="N38" s="27">
        <f>AVERAGE(5213,5850,4050,3750,5000,4432,5300,4900,3499)</f>
        <v>4666</v>
      </c>
      <c r="O38" s="27" t="s">
        <v>807</v>
      </c>
      <c r="P38" s="26" t="s">
        <v>16</v>
      </c>
      <c r="Q38" s="27" t="s">
        <v>16</v>
      </c>
      <c r="R38" s="33" t="s">
        <v>16</v>
      </c>
      <c r="S38" s="26">
        <v>3995</v>
      </c>
      <c r="T38" s="27" t="s">
        <v>425</v>
      </c>
      <c r="U38" s="33" t="s">
        <v>29</v>
      </c>
    </row>
    <row r="39" spans="1:21" s="37" customFormat="1" ht="12.6" customHeight="1">
      <c r="A39" s="121" t="s">
        <v>356</v>
      </c>
      <c r="B39" s="68"/>
      <c r="C39" s="28"/>
      <c r="D39" s="69"/>
      <c r="E39" s="28"/>
      <c r="F39" s="72" t="s">
        <v>16</v>
      </c>
      <c r="G39" s="70" t="s">
        <v>16</v>
      </c>
      <c r="H39" s="71" t="s">
        <v>16</v>
      </c>
      <c r="I39" s="28" t="s">
        <v>16</v>
      </c>
      <c r="J39" s="28" t="s">
        <v>16</v>
      </c>
      <c r="K39" s="28" t="s">
        <v>16</v>
      </c>
      <c r="L39" s="28" t="s">
        <v>16</v>
      </c>
      <c r="M39" s="28" t="s">
        <v>16</v>
      </c>
      <c r="N39" s="28" t="s">
        <v>16</v>
      </c>
      <c r="O39" s="28" t="s">
        <v>16</v>
      </c>
      <c r="P39" s="28" t="s">
        <v>16</v>
      </c>
      <c r="Q39" s="28" t="s">
        <v>16</v>
      </c>
      <c r="R39" s="28" t="s">
        <v>16</v>
      </c>
      <c r="S39" s="28" t="s">
        <v>16</v>
      </c>
      <c r="T39" s="28" t="s">
        <v>16</v>
      </c>
      <c r="U39" s="28" t="s">
        <v>16</v>
      </c>
    </row>
    <row r="40" spans="1:21" ht="12.6" customHeight="1">
      <c r="A40" s="57" t="s">
        <v>27</v>
      </c>
      <c r="B40" s="43" t="s">
        <v>236</v>
      </c>
      <c r="C40" s="16">
        <v>6</v>
      </c>
      <c r="D40" s="18">
        <v>2.8</v>
      </c>
      <c r="E40" s="16">
        <v>9.6</v>
      </c>
      <c r="F40" s="85" t="s">
        <v>133</v>
      </c>
      <c r="G40" s="58">
        <v>0.25</v>
      </c>
      <c r="H40" s="53">
        <v>5.2</v>
      </c>
      <c r="I40" s="16">
        <v>160</v>
      </c>
      <c r="J40" s="16">
        <v>236</v>
      </c>
      <c r="K40" s="31" t="s">
        <v>128</v>
      </c>
      <c r="L40" s="40">
        <f>AVERAGE(49990)</f>
        <v>49990</v>
      </c>
      <c r="M40" s="83" t="s">
        <v>821</v>
      </c>
      <c r="N40" s="16">
        <f>AVERAGE(62395)</f>
        <v>62395</v>
      </c>
      <c r="O40" s="16" t="s">
        <v>793</v>
      </c>
      <c r="P40" s="25" t="s">
        <v>16</v>
      </c>
      <c r="Q40" s="16" t="s">
        <v>16</v>
      </c>
      <c r="R40" s="31" t="s">
        <v>16</v>
      </c>
      <c r="S40" s="25" t="s">
        <v>16</v>
      </c>
      <c r="T40" s="16" t="s">
        <v>16</v>
      </c>
      <c r="U40" s="31" t="s">
        <v>16</v>
      </c>
    </row>
    <row r="41" spans="1:21" ht="12.6" customHeight="1">
      <c r="A41" s="57" t="s">
        <v>27</v>
      </c>
      <c r="B41" s="43" t="s">
        <v>240</v>
      </c>
      <c r="C41" s="16">
        <v>8</v>
      </c>
      <c r="D41" s="18">
        <v>2.8</v>
      </c>
      <c r="E41" s="16">
        <v>12.8</v>
      </c>
      <c r="F41" s="85" t="s">
        <v>133</v>
      </c>
      <c r="G41" s="58">
        <v>0.3</v>
      </c>
      <c r="H41" s="53">
        <v>1.1000000000000001</v>
      </c>
      <c r="I41" s="16">
        <v>128</v>
      </c>
      <c r="J41" s="16">
        <v>123</v>
      </c>
      <c r="K41" s="31" t="s">
        <v>128</v>
      </c>
      <c r="L41" s="25">
        <f>AVERAGE(1505,1136,1677,1680,1893,1275,1849,1980,1146,1575)</f>
        <v>1571.6</v>
      </c>
      <c r="M41" s="31" t="s">
        <v>1092</v>
      </c>
      <c r="N41" s="16">
        <f>AVERAGE(1700,1700,2844,2600,2650,2894)</f>
        <v>2398</v>
      </c>
      <c r="O41" s="16" t="s">
        <v>1092</v>
      </c>
      <c r="P41" s="25">
        <v>1670</v>
      </c>
      <c r="Q41" s="16" t="s">
        <v>677</v>
      </c>
      <c r="R41" s="31" t="s">
        <v>30</v>
      </c>
      <c r="S41" s="25">
        <v>3495</v>
      </c>
      <c r="T41" s="16" t="s">
        <v>692</v>
      </c>
      <c r="U41" s="31" t="s">
        <v>29</v>
      </c>
    </row>
    <row r="42" spans="1:21" ht="12.6" customHeight="1">
      <c r="A42" s="57" t="s">
        <v>27</v>
      </c>
      <c r="B42" s="43" t="s">
        <v>569</v>
      </c>
      <c r="C42" s="16">
        <v>13</v>
      </c>
      <c r="D42" s="18">
        <v>5.6</v>
      </c>
      <c r="E42" s="16">
        <v>12.8</v>
      </c>
      <c r="F42" s="85" t="s">
        <v>152</v>
      </c>
      <c r="G42" s="58">
        <v>0.3</v>
      </c>
      <c r="H42" s="53">
        <v>1.2</v>
      </c>
      <c r="I42" s="16">
        <v>88.5</v>
      </c>
      <c r="J42" s="16">
        <v>115</v>
      </c>
      <c r="K42" s="31" t="s">
        <v>138</v>
      </c>
      <c r="L42" s="25">
        <f>AVERAGE(15778,14675)</f>
        <v>15226.5</v>
      </c>
      <c r="M42" s="31" t="s">
        <v>728</v>
      </c>
      <c r="N42" s="16">
        <v>24995</v>
      </c>
      <c r="O42" s="31" t="s">
        <v>577</v>
      </c>
      <c r="P42" s="25" t="s">
        <v>16</v>
      </c>
      <c r="Q42" s="16" t="s">
        <v>16</v>
      </c>
      <c r="R42" s="31" t="s">
        <v>16</v>
      </c>
      <c r="S42" s="25" t="s">
        <v>16</v>
      </c>
      <c r="T42" s="16" t="s">
        <v>16</v>
      </c>
      <c r="U42" s="31" t="s">
        <v>16</v>
      </c>
    </row>
    <row r="43" spans="1:21" ht="12.6" customHeight="1">
      <c r="A43" s="57" t="s">
        <v>27</v>
      </c>
      <c r="B43" s="57" t="s">
        <v>132</v>
      </c>
      <c r="C43" s="16">
        <v>15</v>
      </c>
      <c r="D43" s="18">
        <v>3.5</v>
      </c>
      <c r="E43" s="16">
        <v>24</v>
      </c>
      <c r="F43" s="85" t="s">
        <v>133</v>
      </c>
      <c r="G43" s="58">
        <v>0.3</v>
      </c>
      <c r="H43" s="53">
        <v>0.63</v>
      </c>
      <c r="I43" s="16">
        <v>83.5</v>
      </c>
      <c r="J43" s="16">
        <v>90</v>
      </c>
      <c r="K43" s="31">
        <v>94</v>
      </c>
      <c r="L43" s="25">
        <f>AVERAGE(550,749,435,630,730,610,685,550,706,691)</f>
        <v>633.6</v>
      </c>
      <c r="M43" s="31" t="s">
        <v>1092</v>
      </c>
      <c r="N43" s="16">
        <f>AVERAGE(999,1000,979,799,1060,900,1025,1100,1072,787)</f>
        <v>972.1</v>
      </c>
      <c r="O43" s="16" t="s">
        <v>1001</v>
      </c>
      <c r="P43" s="25">
        <v>950</v>
      </c>
      <c r="Q43" s="16" t="s">
        <v>881</v>
      </c>
      <c r="R43" s="31" t="s">
        <v>32</v>
      </c>
      <c r="S43" s="25">
        <v>1400</v>
      </c>
      <c r="T43" s="16" t="s">
        <v>821</v>
      </c>
      <c r="U43" s="31" t="s">
        <v>32</v>
      </c>
    </row>
    <row r="44" spans="1:21" ht="12.6" customHeight="1">
      <c r="A44" s="57" t="s">
        <v>27</v>
      </c>
      <c r="B44" s="57" t="s">
        <v>134</v>
      </c>
      <c r="C44" s="16">
        <v>18</v>
      </c>
      <c r="D44" s="18">
        <v>3.5</v>
      </c>
      <c r="E44" s="16">
        <v>28.8</v>
      </c>
      <c r="F44" s="85" t="s">
        <v>133</v>
      </c>
      <c r="G44" s="58">
        <v>0.25</v>
      </c>
      <c r="H44" s="53">
        <v>0.35</v>
      </c>
      <c r="I44" s="16">
        <v>61.5</v>
      </c>
      <c r="J44" s="16">
        <v>75</v>
      </c>
      <c r="K44" s="31">
        <v>72</v>
      </c>
      <c r="L44" s="25">
        <f>AVERAGE(267,370,299,440,307,400,340,475,407,405,405,382)</f>
        <v>374.75</v>
      </c>
      <c r="M44" s="31" t="s">
        <v>1092</v>
      </c>
      <c r="N44" s="16">
        <f>AVERAGE(513,529,531,450,525,545,475,399,550,579)</f>
        <v>509.6</v>
      </c>
      <c r="O44" s="16" t="s">
        <v>1001</v>
      </c>
      <c r="P44" s="25">
        <v>546</v>
      </c>
      <c r="Q44" s="16" t="s">
        <v>677</v>
      </c>
      <c r="R44" s="31" t="s">
        <v>30</v>
      </c>
      <c r="S44" s="25">
        <v>700</v>
      </c>
      <c r="T44" s="16" t="s">
        <v>550</v>
      </c>
      <c r="U44" s="31" t="s">
        <v>32</v>
      </c>
    </row>
    <row r="45" spans="1:21" ht="12.6" customHeight="1">
      <c r="A45" s="213" t="s">
        <v>27</v>
      </c>
      <c r="B45" s="213" t="s">
        <v>135</v>
      </c>
      <c r="C45" s="141">
        <v>20</v>
      </c>
      <c r="D45" s="142">
        <v>2.8</v>
      </c>
      <c r="E45" s="141">
        <v>32</v>
      </c>
      <c r="F45" s="202" t="s">
        <v>133</v>
      </c>
      <c r="G45" s="215">
        <v>0.25</v>
      </c>
      <c r="H45" s="216">
        <v>0.26</v>
      </c>
      <c r="I45" s="141">
        <v>42.5</v>
      </c>
      <c r="J45" s="141">
        <v>69</v>
      </c>
      <c r="K45" s="186">
        <v>62</v>
      </c>
      <c r="L45" s="203">
        <f>AVERAGE(240,275,325,320,206,300,260,257,285)</f>
        <v>274.22222222222223</v>
      </c>
      <c r="M45" s="186" t="s">
        <v>1092</v>
      </c>
      <c r="N45" s="141">
        <f>AVERAGE(410,370,379,420,368,399,380,405,386,360,400)</f>
        <v>388.81818181818181</v>
      </c>
      <c r="O45" s="141" t="s">
        <v>1092</v>
      </c>
      <c r="P45" s="203">
        <v>440</v>
      </c>
      <c r="Q45" s="141" t="s">
        <v>765</v>
      </c>
      <c r="R45" s="186" t="s">
        <v>33</v>
      </c>
      <c r="S45" s="203">
        <v>600</v>
      </c>
      <c r="T45" s="141" t="s">
        <v>765</v>
      </c>
      <c r="U45" s="186" t="s">
        <v>30</v>
      </c>
    </row>
    <row r="46" spans="1:21" ht="12.6" customHeight="1">
      <c r="A46" s="205" t="s">
        <v>27</v>
      </c>
      <c r="B46" s="205" t="s">
        <v>359</v>
      </c>
      <c r="C46" s="172">
        <v>20</v>
      </c>
      <c r="D46" s="211">
        <v>3.5</v>
      </c>
      <c r="E46" s="172">
        <v>32</v>
      </c>
      <c r="F46" s="207" t="s">
        <v>152</v>
      </c>
      <c r="G46" s="195">
        <v>0.3</v>
      </c>
      <c r="H46" s="176">
        <v>0.23499999999999999</v>
      </c>
      <c r="I46" s="172">
        <v>40.5</v>
      </c>
      <c r="J46" s="172">
        <v>63.5</v>
      </c>
      <c r="K46" s="188">
        <v>52</v>
      </c>
      <c r="L46" s="197">
        <f>AVERAGE(192,225,250,250,228,199,195,226,200,214,225)</f>
        <v>218.54545454545453</v>
      </c>
      <c r="M46" s="188" t="s">
        <v>1092</v>
      </c>
      <c r="N46" s="172">
        <f>AVERAGE(319,300,318,274,330,329,295,366,325)</f>
        <v>317.33333333333331</v>
      </c>
      <c r="O46" s="172" t="s">
        <v>1092</v>
      </c>
      <c r="P46" s="197">
        <v>320</v>
      </c>
      <c r="Q46" s="172" t="s">
        <v>881</v>
      </c>
      <c r="R46" s="188" t="s">
        <v>30</v>
      </c>
      <c r="S46" s="197">
        <v>275</v>
      </c>
      <c r="T46" s="172" t="s">
        <v>821</v>
      </c>
      <c r="U46" s="188" t="s">
        <v>28</v>
      </c>
    </row>
    <row r="47" spans="1:21" ht="12.6" customHeight="1">
      <c r="A47" s="213" t="s">
        <v>27</v>
      </c>
      <c r="B47" s="285" t="s">
        <v>581</v>
      </c>
      <c r="C47" s="141">
        <v>28</v>
      </c>
      <c r="D47" s="142">
        <v>3.5</v>
      </c>
      <c r="E47" s="141">
        <v>44.8</v>
      </c>
      <c r="F47" s="202" t="s">
        <v>152</v>
      </c>
      <c r="G47" s="215">
        <v>0.3</v>
      </c>
      <c r="H47" s="216">
        <v>0.38</v>
      </c>
      <c r="I47" s="141">
        <v>69</v>
      </c>
      <c r="J47" s="141">
        <v>78</v>
      </c>
      <c r="K47" s="186">
        <v>72</v>
      </c>
      <c r="L47" s="141">
        <f>AVERAGE(275,275,245,253,300,280,295,210,209,361,325)</f>
        <v>275.27272727272725</v>
      </c>
      <c r="M47" s="186" t="s">
        <v>1092</v>
      </c>
      <c r="N47" s="141">
        <f>AVERAGE(380,365,400,410,425,380,384,400,439)</f>
        <v>398.11111111111109</v>
      </c>
      <c r="O47" s="141" t="s">
        <v>1092</v>
      </c>
      <c r="P47" s="203">
        <v>400</v>
      </c>
      <c r="Q47" s="141" t="s">
        <v>881</v>
      </c>
      <c r="R47" s="186" t="s">
        <v>32</v>
      </c>
      <c r="S47" s="203">
        <v>475</v>
      </c>
      <c r="T47" s="141" t="s">
        <v>862</v>
      </c>
      <c r="U47" s="186" t="s">
        <v>28</v>
      </c>
    </row>
    <row r="48" spans="1:21" ht="12.6" customHeight="1">
      <c r="A48" s="213" t="s">
        <v>27</v>
      </c>
      <c r="B48" s="285" t="s">
        <v>197</v>
      </c>
      <c r="C48" s="141">
        <v>28</v>
      </c>
      <c r="D48" s="142">
        <v>4</v>
      </c>
      <c r="E48" s="141">
        <v>44.8</v>
      </c>
      <c r="F48" s="202" t="s">
        <v>152</v>
      </c>
      <c r="G48" s="215">
        <v>0.3</v>
      </c>
      <c r="H48" s="216">
        <v>0.41</v>
      </c>
      <c r="I48" s="141" t="s">
        <v>16</v>
      </c>
      <c r="J48" s="141">
        <v>78</v>
      </c>
      <c r="K48" s="186">
        <v>72</v>
      </c>
      <c r="L48" s="141">
        <f>AVERAGE(319,339,260,300,366,255,342,325)</f>
        <v>313.25</v>
      </c>
      <c r="M48" s="186" t="s">
        <v>1092</v>
      </c>
      <c r="N48" s="141">
        <f>AVERAGE(498,549,657)</f>
        <v>568</v>
      </c>
      <c r="O48" s="141" t="s">
        <v>529</v>
      </c>
      <c r="P48" s="203">
        <v>367</v>
      </c>
      <c r="Q48" s="141" t="s">
        <v>765</v>
      </c>
      <c r="R48" s="186" t="s">
        <v>30</v>
      </c>
      <c r="S48" s="203">
        <v>800</v>
      </c>
      <c r="T48" s="141" t="s">
        <v>425</v>
      </c>
      <c r="U48" s="186" t="s">
        <v>32</v>
      </c>
    </row>
    <row r="49" spans="1:21" ht="12.6" customHeight="1">
      <c r="A49" s="213" t="s">
        <v>27</v>
      </c>
      <c r="B49" s="285" t="s">
        <v>150</v>
      </c>
      <c r="C49" s="141">
        <v>35</v>
      </c>
      <c r="D49" s="142">
        <v>1.4</v>
      </c>
      <c r="E49" s="141">
        <v>56</v>
      </c>
      <c r="F49" s="202" t="s">
        <v>133</v>
      </c>
      <c r="G49" s="215">
        <v>0.3</v>
      </c>
      <c r="H49" s="216">
        <v>0.41</v>
      </c>
      <c r="I49" s="141">
        <v>62</v>
      </c>
      <c r="J49" s="141">
        <v>67.5</v>
      </c>
      <c r="K49" s="186">
        <v>52</v>
      </c>
      <c r="L49" s="141">
        <f>AVERAGE(375,360,308,320,325,268,243,255)</f>
        <v>306.75</v>
      </c>
      <c r="M49" s="186" t="s">
        <v>1092</v>
      </c>
      <c r="N49" s="141">
        <f>AVERAGE(507,435,400,439,479,525,442,545,410,435)</f>
        <v>461.7</v>
      </c>
      <c r="O49" s="141" t="s">
        <v>1008</v>
      </c>
      <c r="P49" s="203">
        <v>475</v>
      </c>
      <c r="Q49" s="141" t="s">
        <v>881</v>
      </c>
      <c r="R49" s="186" t="s">
        <v>32</v>
      </c>
      <c r="S49" s="203">
        <v>600</v>
      </c>
      <c r="T49" s="141" t="s">
        <v>821</v>
      </c>
      <c r="U49" s="186" t="s">
        <v>32</v>
      </c>
    </row>
    <row r="50" spans="1:21" ht="12.6" customHeight="1">
      <c r="A50" s="205" t="s">
        <v>27</v>
      </c>
      <c r="B50" s="205" t="s">
        <v>332</v>
      </c>
      <c r="C50" s="172">
        <v>35</v>
      </c>
      <c r="D50" s="211">
        <v>2.8</v>
      </c>
      <c r="E50" s="172">
        <v>56</v>
      </c>
      <c r="F50" s="207" t="s">
        <v>152</v>
      </c>
      <c r="G50" s="195">
        <v>0.3</v>
      </c>
      <c r="H50" s="176">
        <v>0.32</v>
      </c>
      <c r="I50" s="172">
        <v>66</v>
      </c>
      <c r="J50" s="172">
        <v>62</v>
      </c>
      <c r="K50" s="188">
        <v>52</v>
      </c>
      <c r="L50" s="172">
        <f>AVERAGE(271,196,259,215,241,285,279,213,200,218)</f>
        <v>237.7</v>
      </c>
      <c r="M50" s="172" t="s">
        <v>1001</v>
      </c>
      <c r="N50" s="197">
        <f>AVERAGE(320,450,384,448,302,470,428,460)</f>
        <v>407.75</v>
      </c>
      <c r="O50" s="172" t="s">
        <v>1001</v>
      </c>
      <c r="P50" s="197">
        <v>350</v>
      </c>
      <c r="Q50" s="172" t="s">
        <v>881</v>
      </c>
      <c r="R50" s="188" t="s">
        <v>32</v>
      </c>
      <c r="S50" s="197">
        <v>400</v>
      </c>
      <c r="T50" s="172" t="s">
        <v>881</v>
      </c>
      <c r="U50" s="188" t="s">
        <v>32</v>
      </c>
    </row>
    <row r="51" spans="1:21" ht="12.6" customHeight="1">
      <c r="A51" s="213" t="s">
        <v>27</v>
      </c>
      <c r="B51" s="285" t="s">
        <v>227</v>
      </c>
      <c r="C51" s="141">
        <v>50</v>
      </c>
      <c r="D51" s="142">
        <v>1.2</v>
      </c>
      <c r="E51" s="141">
        <v>80</v>
      </c>
      <c r="F51" s="202" t="s">
        <v>133</v>
      </c>
      <c r="G51" s="215">
        <v>0.5</v>
      </c>
      <c r="H51" s="216">
        <v>0.41</v>
      </c>
      <c r="I51" s="141">
        <v>49.5</v>
      </c>
      <c r="J51" s="141">
        <v>72</v>
      </c>
      <c r="K51" s="186">
        <v>52</v>
      </c>
      <c r="L51" s="141">
        <f>AVERAGE(333,325,350,331,355,300,320,348,310)</f>
        <v>330.22222222222223</v>
      </c>
      <c r="M51" s="186" t="s">
        <v>1092</v>
      </c>
      <c r="N51" s="141">
        <f>AVERAGE(350,385,513,420,450,459,439,427,399)</f>
        <v>426.88888888888891</v>
      </c>
      <c r="O51" s="186" t="s">
        <v>1008</v>
      </c>
      <c r="P51" s="203">
        <v>460</v>
      </c>
      <c r="Q51" s="141" t="s">
        <v>881</v>
      </c>
      <c r="R51" s="186" t="s">
        <v>32</v>
      </c>
      <c r="S51" s="203">
        <v>425</v>
      </c>
      <c r="T51" s="141" t="s">
        <v>862</v>
      </c>
      <c r="U51" s="186" t="s">
        <v>29</v>
      </c>
    </row>
    <row r="52" spans="1:21" ht="12.6" customHeight="1">
      <c r="A52" s="205" t="s">
        <v>27</v>
      </c>
      <c r="B52" s="205" t="s">
        <v>491</v>
      </c>
      <c r="C52" s="172">
        <v>58</v>
      </c>
      <c r="D52" s="211">
        <v>1.2</v>
      </c>
      <c r="E52" s="172">
        <v>92.8</v>
      </c>
      <c r="F52" s="207" t="s">
        <v>152</v>
      </c>
      <c r="G52" s="195">
        <v>0.5</v>
      </c>
      <c r="H52" s="176">
        <v>0.46500000000000002</v>
      </c>
      <c r="I52" s="172">
        <v>51.5</v>
      </c>
      <c r="J52" s="172">
        <v>74</v>
      </c>
      <c r="K52" s="188">
        <v>52</v>
      </c>
      <c r="L52" s="172">
        <f>AVERAGE(2999,2544,2599,2740,2600,2499,2850,2550,2850,2891)</f>
        <v>2712.2</v>
      </c>
      <c r="M52" s="172" t="s">
        <v>1092</v>
      </c>
      <c r="N52" s="197">
        <f>AVERAGE(3199,3495,3199,3549,3500,3037,3395,3150,3050)</f>
        <v>3286</v>
      </c>
      <c r="O52" s="172" t="s">
        <v>881</v>
      </c>
      <c r="P52" s="197">
        <v>3000</v>
      </c>
      <c r="Q52" s="172" t="s">
        <v>637</v>
      </c>
      <c r="R52" s="188" t="s">
        <v>33</v>
      </c>
      <c r="S52" s="197" t="s">
        <v>16</v>
      </c>
      <c r="T52" s="172" t="s">
        <v>16</v>
      </c>
      <c r="U52" s="188" t="s">
        <v>16</v>
      </c>
    </row>
    <row r="53" spans="1:21" ht="12.6" customHeight="1">
      <c r="A53" s="213" t="s">
        <v>27</v>
      </c>
      <c r="B53" s="213" t="s">
        <v>136</v>
      </c>
      <c r="C53" s="141">
        <v>85</v>
      </c>
      <c r="D53" s="142">
        <v>1.4</v>
      </c>
      <c r="E53" s="141">
        <v>136</v>
      </c>
      <c r="F53" s="202" t="s">
        <v>133</v>
      </c>
      <c r="G53" s="215">
        <v>0.85</v>
      </c>
      <c r="H53" s="216">
        <v>0.62</v>
      </c>
      <c r="I53" s="141">
        <v>64.5</v>
      </c>
      <c r="J53" s="141">
        <v>80.5</v>
      </c>
      <c r="K53" s="186">
        <v>72</v>
      </c>
      <c r="L53" s="141">
        <f>AVERAGE(423,420,413,314,490,440,470,498,440,460,471,480)</f>
        <v>443.25</v>
      </c>
      <c r="M53" s="160" t="s">
        <v>1092</v>
      </c>
      <c r="N53" s="217">
        <f>AVERAGE(550,570,509.53,578,550,530,568,588)</f>
        <v>555.44124999999997</v>
      </c>
      <c r="O53" s="294" t="s">
        <v>1092</v>
      </c>
      <c r="P53" s="203">
        <v>600</v>
      </c>
      <c r="Q53" s="141" t="s">
        <v>881</v>
      </c>
      <c r="R53" s="186" t="s">
        <v>32</v>
      </c>
      <c r="S53" s="203">
        <v>950</v>
      </c>
      <c r="T53" s="141" t="s">
        <v>765</v>
      </c>
      <c r="U53" s="186" t="s">
        <v>361</v>
      </c>
    </row>
    <row r="54" spans="1:21" ht="12.6" customHeight="1">
      <c r="A54" s="213" t="s">
        <v>27</v>
      </c>
      <c r="B54" s="213" t="s">
        <v>137</v>
      </c>
      <c r="C54" s="141">
        <v>105</v>
      </c>
      <c r="D54" s="142">
        <v>1.8</v>
      </c>
      <c r="E54" s="141">
        <v>168</v>
      </c>
      <c r="F54" s="202" t="s">
        <v>133</v>
      </c>
      <c r="G54" s="215">
        <v>1</v>
      </c>
      <c r="H54" s="216">
        <v>0.57999999999999996</v>
      </c>
      <c r="I54" s="141">
        <v>80.5</v>
      </c>
      <c r="J54" s="141">
        <v>78.5</v>
      </c>
      <c r="K54" s="186">
        <v>62</v>
      </c>
      <c r="L54" s="141">
        <f>AVERAGE(260,300,294,299,285,299,318,383,271,306)</f>
        <v>301.5</v>
      </c>
      <c r="M54" s="141" t="s">
        <v>1008</v>
      </c>
      <c r="N54" s="203">
        <f>AVERAGE(428,447,435,458,474,483,404,535)</f>
        <v>458</v>
      </c>
      <c r="O54" s="186" t="s">
        <v>1092</v>
      </c>
      <c r="P54" s="203">
        <v>500</v>
      </c>
      <c r="Q54" s="141" t="s">
        <v>821</v>
      </c>
      <c r="R54" s="186" t="s">
        <v>32</v>
      </c>
      <c r="S54" s="203">
        <v>795</v>
      </c>
      <c r="T54" s="141" t="s">
        <v>513</v>
      </c>
      <c r="U54" s="186" t="s">
        <v>29</v>
      </c>
    </row>
    <row r="55" spans="1:21" ht="12.6" customHeight="1">
      <c r="A55" s="213" t="s">
        <v>27</v>
      </c>
      <c r="B55" s="213" t="s">
        <v>469</v>
      </c>
      <c r="C55" s="141">
        <v>105</v>
      </c>
      <c r="D55" s="142">
        <v>2.5</v>
      </c>
      <c r="E55" s="141">
        <f>1.6*C55</f>
        <v>168</v>
      </c>
      <c r="F55" s="202" t="s">
        <v>239</v>
      </c>
      <c r="G55" s="215">
        <v>1</v>
      </c>
      <c r="H55" s="216">
        <v>0.435</v>
      </c>
      <c r="I55" s="141">
        <v>66</v>
      </c>
      <c r="J55" s="141">
        <v>68.5</v>
      </c>
      <c r="K55" s="186">
        <v>52</v>
      </c>
      <c r="L55" s="141">
        <f>AVERAGE(115,137,110,104,114,128,104,130,128)</f>
        <v>118.88888888888889</v>
      </c>
      <c r="M55" s="141" t="s">
        <v>1092</v>
      </c>
      <c r="N55" s="203">
        <f>AVERAGE(230,185,165,169,225,229,159,159,198,163,198)</f>
        <v>189.09090909090909</v>
      </c>
      <c r="O55" s="186" t="s">
        <v>1001</v>
      </c>
      <c r="P55" s="203">
        <v>130</v>
      </c>
      <c r="Q55" s="141" t="s">
        <v>765</v>
      </c>
      <c r="R55" s="186" t="s">
        <v>32</v>
      </c>
      <c r="S55" s="203">
        <v>265</v>
      </c>
      <c r="T55" s="141" t="s">
        <v>677</v>
      </c>
      <c r="U55" s="186" t="s">
        <v>30</v>
      </c>
    </row>
    <row r="56" spans="1:21" ht="12.6" customHeight="1">
      <c r="A56" s="213" t="s">
        <v>27</v>
      </c>
      <c r="B56" s="213" t="s">
        <v>470</v>
      </c>
      <c r="C56" s="141">
        <v>105</v>
      </c>
      <c r="D56" s="142">
        <v>2.5</v>
      </c>
      <c r="E56" s="141">
        <f>1.6*C56</f>
        <v>168</v>
      </c>
      <c r="F56" s="202" t="s">
        <v>152</v>
      </c>
      <c r="G56" s="215">
        <v>1</v>
      </c>
      <c r="H56" s="216">
        <v>0.435</v>
      </c>
      <c r="I56" s="141">
        <v>68.5</v>
      </c>
      <c r="J56" s="141">
        <v>66</v>
      </c>
      <c r="K56" s="186">
        <v>52</v>
      </c>
      <c r="L56" s="203">
        <f>AVERAGE(134,148,129,109,119,125,120,110,135)</f>
        <v>125.44444444444444</v>
      </c>
      <c r="M56" s="186" t="s">
        <v>1092</v>
      </c>
      <c r="N56" s="141">
        <f>AVERAGE(238,199,149,269,185,221,219,209,195)</f>
        <v>209.33333333333334</v>
      </c>
      <c r="O56" s="142" t="s">
        <v>1092</v>
      </c>
      <c r="P56" s="203">
        <v>170</v>
      </c>
      <c r="Q56" s="142" t="s">
        <v>881</v>
      </c>
      <c r="R56" s="186" t="s">
        <v>32</v>
      </c>
      <c r="S56" s="203">
        <v>150</v>
      </c>
      <c r="T56" s="142" t="s">
        <v>821</v>
      </c>
      <c r="U56" s="186" t="s">
        <v>28</v>
      </c>
    </row>
    <row r="57" spans="1:21" ht="12.6" customHeight="1">
      <c r="A57" s="205" t="s">
        <v>27</v>
      </c>
      <c r="B57" s="205" t="s">
        <v>180</v>
      </c>
      <c r="C57" s="172">
        <v>135</v>
      </c>
      <c r="D57" s="211">
        <v>2</v>
      </c>
      <c r="E57" s="172">
        <v>216</v>
      </c>
      <c r="F57" s="207" t="s">
        <v>133</v>
      </c>
      <c r="G57" s="195">
        <v>1.3</v>
      </c>
      <c r="H57" s="176">
        <v>0.86</v>
      </c>
      <c r="I57" s="172">
        <v>93.5</v>
      </c>
      <c r="J57" s="172">
        <v>80.5</v>
      </c>
      <c r="K57" s="188">
        <v>72</v>
      </c>
      <c r="L57" s="172">
        <f>AVERAGE(360,348,399,380,320,476,350,400,350)</f>
        <v>375.88888888888891</v>
      </c>
      <c r="M57" s="206" t="s">
        <v>1001</v>
      </c>
      <c r="N57" s="197">
        <f>AVERAGE(530,528,507,530,639,499,620,629,530,590,490)</f>
        <v>553.81818181818187</v>
      </c>
      <c r="O57" s="188" t="s">
        <v>1092</v>
      </c>
      <c r="P57" s="197">
        <v>650</v>
      </c>
      <c r="Q57" s="172" t="s">
        <v>881</v>
      </c>
      <c r="R57" s="188" t="s">
        <v>32</v>
      </c>
      <c r="S57" s="197">
        <v>750</v>
      </c>
      <c r="T57" s="172" t="s">
        <v>508</v>
      </c>
      <c r="U57" s="188" t="s">
        <v>33</v>
      </c>
    </row>
    <row r="58" spans="1:21" ht="12.6" customHeight="1">
      <c r="A58" s="213" t="s">
        <v>27</v>
      </c>
      <c r="B58" s="213" t="s">
        <v>153</v>
      </c>
      <c r="C58" s="141">
        <v>200</v>
      </c>
      <c r="D58" s="142">
        <v>2</v>
      </c>
      <c r="E58" s="141">
        <v>320</v>
      </c>
      <c r="F58" s="202" t="s">
        <v>133</v>
      </c>
      <c r="G58" s="215">
        <v>2.4</v>
      </c>
      <c r="H58" s="216">
        <v>2.4</v>
      </c>
      <c r="I58" s="141">
        <v>222</v>
      </c>
      <c r="J58" s="141">
        <v>138</v>
      </c>
      <c r="K58" s="186">
        <v>122</v>
      </c>
      <c r="L58" s="141">
        <f>AVERAGE(1587,1199,1249,1180,1600,1355,1376,1149)</f>
        <v>1336.875</v>
      </c>
      <c r="M58" s="141" t="s">
        <v>1092</v>
      </c>
      <c r="N58" s="203">
        <f>AVERAGE(1999,2000,1625,2300,1935)</f>
        <v>1971.8</v>
      </c>
      <c r="O58" s="141" t="s">
        <v>1001</v>
      </c>
      <c r="P58" s="203">
        <v>2150</v>
      </c>
      <c r="Q58" s="141" t="s">
        <v>734</v>
      </c>
      <c r="R58" s="186" t="s">
        <v>33</v>
      </c>
      <c r="S58" s="203">
        <v>2500</v>
      </c>
      <c r="T58" s="141" t="s">
        <v>445</v>
      </c>
      <c r="U58" s="186" t="s">
        <v>446</v>
      </c>
    </row>
    <row r="59" spans="1:21" ht="12.6" customHeight="1">
      <c r="A59" s="213" t="s">
        <v>27</v>
      </c>
      <c r="B59" s="213" t="s">
        <v>417</v>
      </c>
      <c r="C59" s="141">
        <v>300</v>
      </c>
      <c r="D59" s="142">
        <v>2</v>
      </c>
      <c r="E59" s="141">
        <v>480</v>
      </c>
      <c r="F59" s="202" t="s">
        <v>133</v>
      </c>
      <c r="G59" s="215" t="s">
        <v>127</v>
      </c>
      <c r="H59" s="216">
        <v>7.1</v>
      </c>
      <c r="I59" s="141">
        <v>331</v>
      </c>
      <c r="J59" s="141">
        <v>183</v>
      </c>
      <c r="K59" s="186" t="s">
        <v>45</v>
      </c>
      <c r="L59" s="203">
        <f>AVERAGE(6658)</f>
        <v>6658</v>
      </c>
      <c r="M59" s="141" t="s">
        <v>821</v>
      </c>
      <c r="N59" s="203">
        <f>AVERAGE(0)</f>
        <v>0</v>
      </c>
      <c r="O59" s="141" t="s">
        <v>16</v>
      </c>
      <c r="P59" s="203" t="s">
        <v>16</v>
      </c>
      <c r="Q59" s="141" t="s">
        <v>16</v>
      </c>
      <c r="R59" s="186" t="s">
        <v>16</v>
      </c>
      <c r="S59" s="203" t="s">
        <v>16</v>
      </c>
      <c r="T59" s="141" t="s">
        <v>16</v>
      </c>
      <c r="U59" s="186" t="s">
        <v>16</v>
      </c>
    </row>
    <row r="60" spans="1:21" ht="12.6" customHeight="1">
      <c r="A60" s="205" t="s">
        <v>27</v>
      </c>
      <c r="B60" s="205" t="s">
        <v>418</v>
      </c>
      <c r="C60" s="172">
        <v>300</v>
      </c>
      <c r="D60" s="211">
        <v>2.8</v>
      </c>
      <c r="E60" s="172">
        <v>480</v>
      </c>
      <c r="F60" s="207" t="s">
        <v>133</v>
      </c>
      <c r="G60" s="195">
        <v>3</v>
      </c>
      <c r="H60" s="176">
        <v>2.5</v>
      </c>
      <c r="I60" s="172">
        <v>241</v>
      </c>
      <c r="J60" s="172">
        <v>138</v>
      </c>
      <c r="K60" s="188" t="s">
        <v>223</v>
      </c>
      <c r="L60" s="172">
        <f>AVERAGE(880,819,681,819,800,800,815,1198,761,900)</f>
        <v>847.3</v>
      </c>
      <c r="M60" s="172" t="s">
        <v>1092</v>
      </c>
      <c r="N60" s="197">
        <f>AVERAGE(1129,950,1345,1380,1599,1150)</f>
        <v>1258.8333333333333</v>
      </c>
      <c r="O60" s="172" t="s">
        <v>1008</v>
      </c>
      <c r="P60" s="197">
        <v>950</v>
      </c>
      <c r="Q60" s="172" t="s">
        <v>677</v>
      </c>
      <c r="R60" s="188" t="s">
        <v>32</v>
      </c>
      <c r="S60" s="197">
        <v>1375</v>
      </c>
      <c r="T60" s="172" t="s">
        <v>560</v>
      </c>
      <c r="U60" s="188" t="s">
        <v>29</v>
      </c>
    </row>
    <row r="61" spans="1:21" ht="12.6" customHeight="1">
      <c r="A61" s="213" t="s">
        <v>27</v>
      </c>
      <c r="B61" s="213" t="s">
        <v>419</v>
      </c>
      <c r="C61" s="141">
        <v>400</v>
      </c>
      <c r="D61" s="142">
        <v>2.8</v>
      </c>
      <c r="E61" s="141">
        <v>640</v>
      </c>
      <c r="F61" s="202" t="s">
        <v>133</v>
      </c>
      <c r="G61" s="215">
        <v>4.5999999999999996</v>
      </c>
      <c r="H61" s="216">
        <v>5.15</v>
      </c>
      <c r="I61" s="141">
        <v>378.5</v>
      </c>
      <c r="J61" s="141">
        <v>163</v>
      </c>
      <c r="K61" s="186" t="s">
        <v>45</v>
      </c>
      <c r="L61" s="217">
        <f>AVERAGE(1678,1499,1678,1500,1999)</f>
        <v>1670.8</v>
      </c>
      <c r="M61" s="218" t="s">
        <v>1092</v>
      </c>
      <c r="N61" s="141">
        <f>AVERAGE(2195,2334,2549,2551,2550,2400,2650,2499)</f>
        <v>2466</v>
      </c>
      <c r="O61" s="160" t="s">
        <v>863</v>
      </c>
      <c r="P61" s="203">
        <v>3100</v>
      </c>
      <c r="Q61" s="141" t="s">
        <v>821</v>
      </c>
      <c r="R61" s="186" t="s">
        <v>32</v>
      </c>
      <c r="S61" s="203" t="s">
        <v>16</v>
      </c>
      <c r="T61" s="141" t="s">
        <v>16</v>
      </c>
      <c r="U61" s="186" t="s">
        <v>16</v>
      </c>
    </row>
    <row r="62" spans="1:21" ht="12.6" customHeight="1">
      <c r="A62" s="213" t="s">
        <v>27</v>
      </c>
      <c r="B62" s="213" t="s">
        <v>416</v>
      </c>
      <c r="C62" s="141">
        <v>400</v>
      </c>
      <c r="D62" s="142">
        <v>3.5</v>
      </c>
      <c r="E62" s="141">
        <v>640</v>
      </c>
      <c r="F62" s="202" t="s">
        <v>133</v>
      </c>
      <c r="G62" s="215">
        <v>4.5999999999999996</v>
      </c>
      <c r="H62" s="216">
        <v>2.8</v>
      </c>
      <c r="I62" s="141">
        <v>297.2</v>
      </c>
      <c r="J62" s="141">
        <v>134.6</v>
      </c>
      <c r="K62" s="186" t="s">
        <v>377</v>
      </c>
      <c r="L62" s="203">
        <f>AVERAGE(1150,1078,946,1349,998,1295,1148,1098,1364,1000,1000)</f>
        <v>1129.6363636363637</v>
      </c>
      <c r="M62" s="186" t="s">
        <v>1092</v>
      </c>
      <c r="N62" s="141">
        <f>AVERAGE(1300,1525,1400,1400,1800,1480,1675,1568,1678)</f>
        <v>1536.2222222222222</v>
      </c>
      <c r="O62" s="141" t="s">
        <v>1001</v>
      </c>
      <c r="P62" s="203">
        <v>1000</v>
      </c>
      <c r="Q62" s="141" t="s">
        <v>881</v>
      </c>
      <c r="R62" s="186" t="s">
        <v>32</v>
      </c>
      <c r="S62" s="203" t="s">
        <v>16</v>
      </c>
      <c r="T62" s="141" t="s">
        <v>16</v>
      </c>
      <c r="U62" s="186" t="s">
        <v>16</v>
      </c>
    </row>
    <row r="63" spans="1:21" ht="12.6" customHeight="1">
      <c r="A63" s="213" t="s">
        <v>27</v>
      </c>
      <c r="B63" s="213" t="s">
        <v>413</v>
      </c>
      <c r="C63" s="141">
        <v>500</v>
      </c>
      <c r="D63" s="142">
        <v>4</v>
      </c>
      <c r="E63" s="141">
        <v>800</v>
      </c>
      <c r="F63" s="202" t="s">
        <v>133</v>
      </c>
      <c r="G63" s="215">
        <v>5</v>
      </c>
      <c r="H63" s="216">
        <v>3</v>
      </c>
      <c r="I63" s="141">
        <v>384</v>
      </c>
      <c r="J63" s="141">
        <v>138</v>
      </c>
      <c r="K63" s="186" t="s">
        <v>223</v>
      </c>
      <c r="L63" s="203">
        <f>AVERAGE(1587,1600,1770,1999,1898,1950,1998,1835,1650)</f>
        <v>1809.6666666666667</v>
      </c>
      <c r="M63" s="280" t="s">
        <v>1008</v>
      </c>
      <c r="N63" s="141">
        <f>AVERAGE(1775,2210,1900,2450,2275,2450,2250,2500,2325)</f>
        <v>2237.2222222222222</v>
      </c>
      <c r="O63" s="160" t="s">
        <v>1092</v>
      </c>
      <c r="P63" s="203">
        <v>1800</v>
      </c>
      <c r="Q63" s="141" t="s">
        <v>881</v>
      </c>
      <c r="R63" s="186" t="s">
        <v>32</v>
      </c>
      <c r="S63" s="203">
        <v>2000</v>
      </c>
      <c r="T63" s="141" t="s">
        <v>881</v>
      </c>
      <c r="U63" s="186" t="s">
        <v>32</v>
      </c>
    </row>
    <row r="64" spans="1:21" ht="12.6" customHeight="1">
      <c r="A64" s="213" t="s">
        <v>27</v>
      </c>
      <c r="B64" s="213" t="s">
        <v>414</v>
      </c>
      <c r="C64" s="141">
        <v>600</v>
      </c>
      <c r="D64" s="142">
        <v>4</v>
      </c>
      <c r="E64" s="141">
        <v>960</v>
      </c>
      <c r="F64" s="202" t="s">
        <v>133</v>
      </c>
      <c r="G64" s="215">
        <v>7.6</v>
      </c>
      <c r="H64" s="216">
        <v>5.65</v>
      </c>
      <c r="I64" s="141">
        <v>464.8</v>
      </c>
      <c r="J64" s="141">
        <v>172.7</v>
      </c>
      <c r="K64" s="186" t="s">
        <v>223</v>
      </c>
      <c r="L64" s="203">
        <f>AVERAGE(1989,1798,2280,2395,2275,2298,2429,2275,2478,2000)</f>
        <v>2221.6999999999998</v>
      </c>
      <c r="M64" s="186" t="s">
        <v>1092</v>
      </c>
      <c r="N64" s="141">
        <f>AVERAGE(2780,2740,2800,2625)</f>
        <v>2736.25</v>
      </c>
      <c r="O64" s="141" t="s">
        <v>813</v>
      </c>
      <c r="P64" s="203">
        <v>3000</v>
      </c>
      <c r="Q64" s="141" t="s">
        <v>881</v>
      </c>
      <c r="R64" s="186" t="s">
        <v>32</v>
      </c>
      <c r="S64" s="203" t="s">
        <v>16</v>
      </c>
      <c r="T64" s="141" t="s">
        <v>16</v>
      </c>
      <c r="U64" s="186" t="s">
        <v>16</v>
      </c>
    </row>
    <row r="65" spans="1:21" ht="12.6" customHeight="1">
      <c r="A65" s="213" t="s">
        <v>27</v>
      </c>
      <c r="B65" s="213" t="s">
        <v>964</v>
      </c>
      <c r="C65" s="141">
        <v>600</v>
      </c>
      <c r="D65" s="142">
        <v>5.6</v>
      </c>
      <c r="E65" s="141">
        <v>960</v>
      </c>
      <c r="F65" s="202" t="s">
        <v>133</v>
      </c>
      <c r="G65" s="215">
        <v>6.1</v>
      </c>
      <c r="H65" s="216">
        <v>2.7</v>
      </c>
      <c r="I65" s="141">
        <v>382</v>
      </c>
      <c r="J65" s="141">
        <v>134</v>
      </c>
      <c r="K65" s="186" t="s">
        <v>223</v>
      </c>
      <c r="L65" s="203">
        <f>AVERAGE(1368,1149,861,1350,996,905,1490)</f>
        <v>1159.8571428571429</v>
      </c>
      <c r="M65" s="186" t="s">
        <v>1092</v>
      </c>
      <c r="N65" s="141">
        <f>AVERAGE(2198,1500,2100,1880,2222,2450,1815,2250,2379,2349)</f>
        <v>2114.3000000000002</v>
      </c>
      <c r="O65" s="141" t="s">
        <v>813</v>
      </c>
      <c r="P65" s="203">
        <v>1602</v>
      </c>
      <c r="Q65" s="141" t="s">
        <v>765</v>
      </c>
      <c r="R65" s="186" t="s">
        <v>30</v>
      </c>
      <c r="S65" s="203" t="s">
        <v>16</v>
      </c>
      <c r="T65" s="141" t="s">
        <v>16</v>
      </c>
      <c r="U65" s="186" t="s">
        <v>16</v>
      </c>
    </row>
    <row r="66" spans="1:21" ht="12.6" customHeight="1">
      <c r="A66" s="205" t="s">
        <v>27</v>
      </c>
      <c r="B66" s="205" t="s">
        <v>415</v>
      </c>
      <c r="C66" s="172">
        <v>800</v>
      </c>
      <c r="D66" s="211">
        <v>5.6</v>
      </c>
      <c r="E66" s="172">
        <v>1280</v>
      </c>
      <c r="F66" s="207" t="s">
        <v>133</v>
      </c>
      <c r="G66" s="195">
        <v>8</v>
      </c>
      <c r="H66" s="176">
        <v>5.45</v>
      </c>
      <c r="I66" s="172">
        <v>546</v>
      </c>
      <c r="J66" s="172">
        <v>163</v>
      </c>
      <c r="K66" s="188" t="s">
        <v>45</v>
      </c>
      <c r="L66" s="197">
        <f>AVERAGE(2325,1564,2199,1700,2926,3098,3248,2999,2325,2799)</f>
        <v>2518.3000000000002</v>
      </c>
      <c r="M66" s="188" t="s">
        <v>1008</v>
      </c>
      <c r="N66" s="172">
        <f>AVERAGE(3148,3149,2999,3200,3400,3999)</f>
        <v>3315.8333333333335</v>
      </c>
      <c r="O66" s="172" t="s">
        <v>1008</v>
      </c>
      <c r="P66" s="197">
        <v>3650</v>
      </c>
      <c r="Q66" s="172" t="s">
        <v>637</v>
      </c>
      <c r="R66" s="188" t="s">
        <v>32</v>
      </c>
      <c r="S66" s="197">
        <v>4560</v>
      </c>
      <c r="T66" s="172" t="s">
        <v>560</v>
      </c>
      <c r="U66" s="188" t="s">
        <v>30</v>
      </c>
    </row>
    <row r="67" spans="1:21" ht="12.6" customHeight="1">
      <c r="A67" s="213" t="s">
        <v>27</v>
      </c>
      <c r="B67" s="213" t="s">
        <v>549</v>
      </c>
      <c r="C67" s="141" t="s">
        <v>261</v>
      </c>
      <c r="D67" s="142">
        <v>2.8</v>
      </c>
      <c r="E67" s="141" t="s">
        <v>262</v>
      </c>
      <c r="F67" s="202" t="s">
        <v>263</v>
      </c>
      <c r="G67" s="215">
        <v>0.28000000000000003</v>
      </c>
      <c r="H67" s="216">
        <v>1</v>
      </c>
      <c r="I67" s="141">
        <v>131</v>
      </c>
      <c r="J67" s="141">
        <v>98</v>
      </c>
      <c r="K67" s="186" t="s">
        <v>31</v>
      </c>
      <c r="L67" s="141">
        <f>AVERAGE(1102,1150,1100,1028,1129,1179,1102,1111)</f>
        <v>1112.625</v>
      </c>
      <c r="M67" s="186" t="s">
        <v>1092</v>
      </c>
      <c r="N67" s="141">
        <f>AVERAGE(1299,1350,1375,1391,1400,1325,1599,1309,1401)</f>
        <v>1383.2222222222222</v>
      </c>
      <c r="O67" s="141" t="s">
        <v>1092</v>
      </c>
      <c r="P67" s="203">
        <v>1672</v>
      </c>
      <c r="Q67" s="141" t="s">
        <v>765</v>
      </c>
      <c r="R67" s="186" t="s">
        <v>30</v>
      </c>
      <c r="S67" s="203">
        <v>1740</v>
      </c>
      <c r="T67" s="141" t="s">
        <v>677</v>
      </c>
      <c r="U67" s="186" t="s">
        <v>30</v>
      </c>
    </row>
    <row r="68" spans="1:21" ht="12.6" customHeight="1">
      <c r="A68" s="213" t="s">
        <v>27</v>
      </c>
      <c r="B68" s="213" t="s">
        <v>176</v>
      </c>
      <c r="C68" s="141" t="s">
        <v>114</v>
      </c>
      <c r="D68" s="142">
        <v>4</v>
      </c>
      <c r="E68" s="141" t="s">
        <v>177</v>
      </c>
      <c r="F68" s="202" t="s">
        <v>133</v>
      </c>
      <c r="G68" s="215">
        <v>3.65</v>
      </c>
      <c r="H68" s="216">
        <v>4</v>
      </c>
      <c r="I68" s="141">
        <v>330</v>
      </c>
      <c r="J68" s="141">
        <v>144</v>
      </c>
      <c r="K68" s="186">
        <v>122</v>
      </c>
      <c r="L68" s="203">
        <f>AVERAGE(1400,2600,2500)</f>
        <v>2166.6666666666665</v>
      </c>
      <c r="M68" s="186" t="s">
        <v>773</v>
      </c>
      <c r="N68" s="141">
        <f>AVERAGE(2488,3899,3900,4497,2656,3000,3050)</f>
        <v>3355.7142857142858</v>
      </c>
      <c r="O68" s="141" t="s">
        <v>770</v>
      </c>
      <c r="P68" s="203" t="s">
        <v>16</v>
      </c>
      <c r="Q68" s="141" t="s">
        <v>16</v>
      </c>
      <c r="R68" s="186" t="s">
        <v>16</v>
      </c>
      <c r="S68" s="203" t="s">
        <v>16</v>
      </c>
      <c r="T68" s="141" t="s">
        <v>16</v>
      </c>
      <c r="U68" s="186" t="s">
        <v>16</v>
      </c>
    </row>
    <row r="69" spans="1:21" ht="12.6" customHeight="1">
      <c r="A69" s="205" t="s">
        <v>27</v>
      </c>
      <c r="B69" s="205" t="s">
        <v>866</v>
      </c>
      <c r="C69" s="172" t="s">
        <v>758</v>
      </c>
      <c r="D69" s="211" t="s">
        <v>759</v>
      </c>
      <c r="E69" s="172" t="s">
        <v>16</v>
      </c>
      <c r="F69" s="207" t="s">
        <v>133</v>
      </c>
      <c r="G69" s="195">
        <v>10</v>
      </c>
      <c r="H69" s="176">
        <v>16</v>
      </c>
      <c r="I69" s="172">
        <v>880</v>
      </c>
      <c r="J69" s="172">
        <v>237</v>
      </c>
      <c r="K69" s="188" t="s">
        <v>45</v>
      </c>
      <c r="L69" s="197">
        <v>0</v>
      </c>
      <c r="M69" s="188" t="s">
        <v>16</v>
      </c>
      <c r="N69" s="172">
        <v>0</v>
      </c>
      <c r="O69" s="172" t="s">
        <v>16</v>
      </c>
      <c r="P69" s="197" t="s">
        <v>16</v>
      </c>
      <c r="Q69" s="172" t="s">
        <v>16</v>
      </c>
      <c r="R69" s="188" t="s">
        <v>16</v>
      </c>
      <c r="S69" s="197" t="s">
        <v>16</v>
      </c>
      <c r="T69" s="172" t="s">
        <v>16</v>
      </c>
      <c r="U69" s="188" t="s">
        <v>16</v>
      </c>
    </row>
    <row r="70" spans="1:21" s="37" customFormat="1" ht="12.6" customHeight="1">
      <c r="A70" s="243" t="s">
        <v>355</v>
      </c>
      <c r="B70" s="244"/>
      <c r="C70" s="179"/>
      <c r="D70" s="245"/>
      <c r="E70" s="179"/>
      <c r="F70" s="246" t="s">
        <v>16</v>
      </c>
      <c r="G70" s="247" t="s">
        <v>16</v>
      </c>
      <c r="H70" s="248" t="s">
        <v>16</v>
      </c>
      <c r="I70" s="179" t="s">
        <v>16</v>
      </c>
      <c r="J70" s="179" t="s">
        <v>16</v>
      </c>
      <c r="K70" s="179" t="s">
        <v>16</v>
      </c>
      <c r="L70" s="179" t="s">
        <v>16</v>
      </c>
      <c r="M70" s="179" t="s">
        <v>16</v>
      </c>
      <c r="N70" s="179" t="s">
        <v>16</v>
      </c>
      <c r="O70" s="179" t="s">
        <v>16</v>
      </c>
      <c r="P70" s="179" t="s">
        <v>16</v>
      </c>
      <c r="Q70" s="179" t="s">
        <v>16</v>
      </c>
      <c r="R70" s="179" t="s">
        <v>16</v>
      </c>
      <c r="S70" s="179" t="s">
        <v>16</v>
      </c>
      <c r="T70" s="179" t="s">
        <v>16</v>
      </c>
      <c r="U70" s="179" t="s">
        <v>16</v>
      </c>
    </row>
    <row r="71" spans="1:21" ht="12.6" customHeight="1">
      <c r="A71" s="213" t="s">
        <v>181</v>
      </c>
      <c r="B71" s="213" t="s">
        <v>670</v>
      </c>
      <c r="C71" s="141">
        <v>18</v>
      </c>
      <c r="D71" s="142">
        <v>3.5</v>
      </c>
      <c r="E71" s="141">
        <v>28.8</v>
      </c>
      <c r="F71" s="202" t="s">
        <v>182</v>
      </c>
      <c r="G71" s="215">
        <v>0.25</v>
      </c>
      <c r="H71" s="216">
        <v>0.25</v>
      </c>
      <c r="I71" s="141">
        <v>42</v>
      </c>
      <c r="J71" s="141">
        <v>62</v>
      </c>
      <c r="K71" s="186" t="s">
        <v>556</v>
      </c>
      <c r="L71" s="155">
        <f>AVERAGE(639,659,639,722,609,649,650,700,680,700)</f>
        <v>664.7</v>
      </c>
      <c r="M71" s="155" t="s">
        <v>1092</v>
      </c>
      <c r="N71" s="217">
        <f>AVERAGE(820,899,890,979,1006,879,995)</f>
        <v>924</v>
      </c>
      <c r="O71" s="141" t="s">
        <v>881</v>
      </c>
      <c r="P71" s="203">
        <v>700</v>
      </c>
      <c r="Q71" s="142" t="s">
        <v>881</v>
      </c>
      <c r="R71" s="186" t="s">
        <v>30</v>
      </c>
      <c r="S71" s="203">
        <v>1300</v>
      </c>
      <c r="T71" s="141" t="s">
        <v>765</v>
      </c>
      <c r="U71" s="186" t="s">
        <v>446</v>
      </c>
    </row>
    <row r="72" spans="1:21" ht="12.6" customHeight="1">
      <c r="A72" s="213" t="s">
        <v>181</v>
      </c>
      <c r="B72" s="213" t="s">
        <v>669</v>
      </c>
      <c r="C72" s="141">
        <v>21</v>
      </c>
      <c r="D72" s="142">
        <v>2</v>
      </c>
      <c r="E72" s="141">
        <v>33.6</v>
      </c>
      <c r="F72" s="202" t="s">
        <v>182</v>
      </c>
      <c r="G72" s="215">
        <v>0.2</v>
      </c>
      <c r="H72" s="216">
        <v>0.25</v>
      </c>
      <c r="I72" s="141">
        <v>43.5</v>
      </c>
      <c r="J72" s="141">
        <v>60</v>
      </c>
      <c r="K72" s="186">
        <v>55</v>
      </c>
      <c r="L72" s="203">
        <f>AVERAGE(889,847,845,741,845,856,799,693,850,822,760,830,888)</f>
        <v>820.38461538461536</v>
      </c>
      <c r="M72" s="204" t="s">
        <v>1001</v>
      </c>
      <c r="N72" s="141">
        <f>AVERAGE(899,1080,880,849,1100,1375,1225,909,1100)</f>
        <v>1046.3333333333333</v>
      </c>
      <c r="O72" s="142" t="s">
        <v>881</v>
      </c>
      <c r="P72" s="203">
        <v>900</v>
      </c>
      <c r="Q72" s="142" t="s">
        <v>696</v>
      </c>
      <c r="R72" s="186" t="s">
        <v>32</v>
      </c>
      <c r="S72" s="203">
        <v>1170</v>
      </c>
      <c r="T72" s="142" t="s">
        <v>696</v>
      </c>
      <c r="U72" s="186" t="s">
        <v>30</v>
      </c>
    </row>
    <row r="73" spans="1:21" ht="12.6" customHeight="1">
      <c r="A73" s="213" t="s">
        <v>181</v>
      </c>
      <c r="B73" s="213" t="s">
        <v>668</v>
      </c>
      <c r="C73" s="141">
        <v>21</v>
      </c>
      <c r="D73" s="142">
        <v>3.5</v>
      </c>
      <c r="E73" s="141">
        <v>33.6</v>
      </c>
      <c r="F73" s="202" t="s">
        <v>182</v>
      </c>
      <c r="G73" s="215">
        <v>0.2</v>
      </c>
      <c r="H73" s="216">
        <v>0.18</v>
      </c>
      <c r="I73" s="141">
        <v>31</v>
      </c>
      <c r="J73" s="141">
        <v>59</v>
      </c>
      <c r="K73" s="186">
        <v>49</v>
      </c>
      <c r="L73" s="203">
        <f>AVERAGE(300,338,340,268,290,281,308,345,348,355,345)</f>
        <v>319.81818181818181</v>
      </c>
      <c r="M73" s="204" t="s">
        <v>1092</v>
      </c>
      <c r="N73" s="141">
        <f>AVERAGE(440,400,402,396,409,438,455,478,399,405)</f>
        <v>422.2</v>
      </c>
      <c r="O73" s="142" t="s">
        <v>1008</v>
      </c>
      <c r="P73" s="203">
        <v>330</v>
      </c>
      <c r="Q73" s="142" t="s">
        <v>881</v>
      </c>
      <c r="R73" s="186" t="s">
        <v>32</v>
      </c>
      <c r="S73" s="203">
        <v>525</v>
      </c>
      <c r="T73" s="142" t="s">
        <v>765</v>
      </c>
      <c r="U73" s="186" t="s">
        <v>446</v>
      </c>
    </row>
    <row r="74" spans="1:21" s="149" customFormat="1" ht="12.6" customHeight="1">
      <c r="A74" s="213" t="s">
        <v>181</v>
      </c>
      <c r="B74" s="213" t="s">
        <v>1011</v>
      </c>
      <c r="C74" s="141">
        <v>24</v>
      </c>
      <c r="D74" s="142">
        <v>2</v>
      </c>
      <c r="E74" s="141">
        <v>38.4</v>
      </c>
      <c r="F74" s="202" t="s">
        <v>182</v>
      </c>
      <c r="G74" s="215">
        <v>0.25</v>
      </c>
      <c r="H74" s="216">
        <v>0.28000000000000003</v>
      </c>
      <c r="I74" s="141">
        <v>48</v>
      </c>
      <c r="J74" s="141">
        <v>60</v>
      </c>
      <c r="K74" s="186">
        <v>55</v>
      </c>
      <c r="L74" s="203">
        <f>AVERAGE(320,270,359,379,275,256,345,315,340,309)</f>
        <v>316.8</v>
      </c>
      <c r="M74" s="204" t="s">
        <v>1092</v>
      </c>
      <c r="N74" s="141">
        <f>AVERAGE(445,530,564,575,695,585,525)</f>
        <v>559.85714285714289</v>
      </c>
      <c r="O74" s="142" t="s">
        <v>1008</v>
      </c>
      <c r="P74" s="203">
        <v>400</v>
      </c>
      <c r="Q74" s="142" t="s">
        <v>881</v>
      </c>
      <c r="R74" s="186" t="s">
        <v>32</v>
      </c>
      <c r="S74" s="203">
        <v>345</v>
      </c>
      <c r="T74" s="142" t="s">
        <v>1092</v>
      </c>
      <c r="U74" s="186" t="s">
        <v>28</v>
      </c>
    </row>
    <row r="75" spans="1:21" s="149" customFormat="1" ht="12.6" customHeight="1">
      <c r="A75" s="213" t="s">
        <v>181</v>
      </c>
      <c r="B75" s="213" t="s">
        <v>1012</v>
      </c>
      <c r="C75" s="141">
        <v>24</v>
      </c>
      <c r="D75" s="142">
        <v>2.8</v>
      </c>
      <c r="E75" s="141">
        <v>38.4</v>
      </c>
      <c r="F75" s="202" t="s">
        <v>182</v>
      </c>
      <c r="G75" s="215">
        <v>0.25</v>
      </c>
      <c r="H75" s="216">
        <v>0.18</v>
      </c>
      <c r="I75" s="141">
        <v>31</v>
      </c>
      <c r="J75" s="141">
        <v>59</v>
      </c>
      <c r="K75" s="186">
        <v>49</v>
      </c>
      <c r="L75" s="203">
        <f>AVERAGE(130,128,128,125,144,115,130,159,112,128)</f>
        <v>129.9</v>
      </c>
      <c r="M75" s="204" t="s">
        <v>1092</v>
      </c>
      <c r="N75" s="141">
        <f>AVERAGE(198,238,178,230,150,178,169,151,170,178,203,216)</f>
        <v>188.25</v>
      </c>
      <c r="O75" s="142" t="s">
        <v>1092</v>
      </c>
      <c r="P75" s="203">
        <v>220</v>
      </c>
      <c r="Q75" s="142" t="s">
        <v>881</v>
      </c>
      <c r="R75" s="186" t="s">
        <v>32</v>
      </c>
      <c r="S75" s="203">
        <v>260</v>
      </c>
      <c r="T75" s="142" t="s">
        <v>862</v>
      </c>
      <c r="U75" s="186" t="s">
        <v>32</v>
      </c>
    </row>
    <row r="76" spans="1:21" s="149" customFormat="1" ht="12.6" customHeight="1">
      <c r="A76" s="213" t="s">
        <v>181</v>
      </c>
      <c r="B76" s="213" t="s">
        <v>744</v>
      </c>
      <c r="C76" s="141">
        <v>24</v>
      </c>
      <c r="D76" s="142">
        <v>3.5</v>
      </c>
      <c r="E76" s="141">
        <v>38.4</v>
      </c>
      <c r="F76" s="202" t="s">
        <v>182</v>
      </c>
      <c r="G76" s="215">
        <v>0.35</v>
      </c>
      <c r="H76" s="216">
        <v>0.51</v>
      </c>
      <c r="I76" s="141">
        <v>75</v>
      </c>
      <c r="J76" s="141">
        <v>84</v>
      </c>
      <c r="K76" s="186" t="s">
        <v>90</v>
      </c>
      <c r="L76" s="203">
        <f>AVERAGE(770,710,595,725,787)</f>
        <v>717.4</v>
      </c>
      <c r="M76" s="204" t="s">
        <v>1008</v>
      </c>
      <c r="N76" s="141">
        <f>AVERAGE(900,899,1175,1099,1045)</f>
        <v>1023.6</v>
      </c>
      <c r="O76" s="142" t="s">
        <v>1092</v>
      </c>
      <c r="P76" s="203">
        <v>1080</v>
      </c>
      <c r="Q76" s="142" t="s">
        <v>821</v>
      </c>
      <c r="R76" s="186" t="s">
        <v>30</v>
      </c>
      <c r="S76" s="203">
        <v>2800</v>
      </c>
      <c r="T76" s="142" t="s">
        <v>765</v>
      </c>
      <c r="U76" s="186" t="s">
        <v>446</v>
      </c>
    </row>
    <row r="77" spans="1:21" s="149" customFormat="1" ht="12.6" customHeight="1">
      <c r="A77" s="213" t="s">
        <v>181</v>
      </c>
      <c r="B77" s="213" t="s">
        <v>1009</v>
      </c>
      <c r="C77" s="141">
        <v>28</v>
      </c>
      <c r="D77" s="142">
        <v>2</v>
      </c>
      <c r="E77" s="141">
        <f>C77*1.6</f>
        <v>44.800000000000004</v>
      </c>
      <c r="F77" s="202" t="s">
        <v>182</v>
      </c>
      <c r="G77" s="215">
        <v>0.3</v>
      </c>
      <c r="H77" s="216">
        <v>0.245</v>
      </c>
      <c r="I77" s="141">
        <v>43</v>
      </c>
      <c r="J77" s="141">
        <v>60</v>
      </c>
      <c r="K77" s="186">
        <v>49</v>
      </c>
      <c r="L77" s="203">
        <f>AVERAGE(279,175,164,185)</f>
        <v>200.75</v>
      </c>
      <c r="M77" s="204" t="s">
        <v>1092</v>
      </c>
      <c r="N77" s="141">
        <f>AVERAGE(399,349,256,249,349,249,218,279,279,298)</f>
        <v>292.5</v>
      </c>
      <c r="O77" s="142" t="s">
        <v>1092</v>
      </c>
      <c r="P77" s="203">
        <v>300</v>
      </c>
      <c r="Q77" s="142" t="s">
        <v>1092</v>
      </c>
      <c r="R77" s="186" t="s">
        <v>1035</v>
      </c>
      <c r="S77" s="203" t="s">
        <v>16</v>
      </c>
      <c r="T77" s="142" t="s">
        <v>16</v>
      </c>
      <c r="U77" s="186" t="s">
        <v>16</v>
      </c>
    </row>
    <row r="78" spans="1:21" s="161" customFormat="1" ht="12.6" customHeight="1">
      <c r="A78" s="161" t="s">
        <v>181</v>
      </c>
      <c r="B78" s="161" t="s">
        <v>1010</v>
      </c>
      <c r="C78" s="142">
        <v>28</v>
      </c>
      <c r="D78" s="219">
        <v>2.8</v>
      </c>
      <c r="E78" s="141">
        <f>C78*1.6</f>
        <v>44.800000000000004</v>
      </c>
      <c r="F78" s="215" t="s">
        <v>182</v>
      </c>
      <c r="G78" s="215">
        <v>0.3</v>
      </c>
      <c r="H78" s="216">
        <v>0.17</v>
      </c>
      <c r="I78" s="141">
        <v>32</v>
      </c>
      <c r="J78" s="141">
        <v>60</v>
      </c>
      <c r="K78" s="204">
        <v>49</v>
      </c>
      <c r="L78" s="203">
        <f>AVERAGE(66,48,49,56)</f>
        <v>54.75</v>
      </c>
      <c r="M78" s="204" t="s">
        <v>1092</v>
      </c>
      <c r="N78" s="203">
        <f>AVERAGE(105,110,105)</f>
        <v>106.66666666666667</v>
      </c>
      <c r="O78" s="142" t="s">
        <v>1092</v>
      </c>
      <c r="P78" s="220" t="s">
        <v>16</v>
      </c>
      <c r="Q78" s="142" t="s">
        <v>16</v>
      </c>
      <c r="R78" s="186" t="s">
        <v>16</v>
      </c>
      <c r="S78" s="220" t="s">
        <v>16</v>
      </c>
      <c r="T78" s="142" t="s">
        <v>16</v>
      </c>
      <c r="U78" s="204" t="s">
        <v>16</v>
      </c>
    </row>
    <row r="79" spans="1:21" s="149" customFormat="1" ht="12.6" customHeight="1">
      <c r="A79" s="205" t="s">
        <v>181</v>
      </c>
      <c r="B79" s="205" t="s">
        <v>1013</v>
      </c>
      <c r="C79" s="172">
        <v>35</v>
      </c>
      <c r="D79" s="211">
        <v>2.8</v>
      </c>
      <c r="E79" s="172">
        <v>56</v>
      </c>
      <c r="F79" s="207" t="s">
        <v>182</v>
      </c>
      <c r="G79" s="195">
        <v>0.3</v>
      </c>
      <c r="H79" s="176">
        <v>0.31</v>
      </c>
      <c r="I79" s="172">
        <v>58</v>
      </c>
      <c r="J79" s="172">
        <v>68</v>
      </c>
      <c r="K79" s="188">
        <v>49</v>
      </c>
      <c r="L79" s="172">
        <f>AVERAGE(205,340,299,261,228,332,288,300,330,299,282,288)</f>
        <v>287.66666666666669</v>
      </c>
      <c r="M79" s="172" t="s">
        <v>1001</v>
      </c>
      <c r="N79" s="197">
        <f>AVERAGE(346,447,338,450,400,480,425,500,458,500)</f>
        <v>434.4</v>
      </c>
      <c r="O79" s="172" t="s">
        <v>862</v>
      </c>
      <c r="P79" s="197">
        <v>380</v>
      </c>
      <c r="Q79" s="172" t="s">
        <v>881</v>
      </c>
      <c r="R79" s="188" t="s">
        <v>30</v>
      </c>
      <c r="S79" s="197">
        <v>445</v>
      </c>
      <c r="T79" s="172" t="s">
        <v>1092</v>
      </c>
      <c r="U79" s="188" t="s">
        <v>28</v>
      </c>
    </row>
    <row r="80" spans="1:21" s="149" customFormat="1" ht="12.6" customHeight="1">
      <c r="A80" s="213" t="s">
        <v>181</v>
      </c>
      <c r="B80" s="213" t="s">
        <v>571</v>
      </c>
      <c r="C80" s="141">
        <v>40</v>
      </c>
      <c r="D80" s="142">
        <v>2</v>
      </c>
      <c r="E80" s="141">
        <f>C80*1.6</f>
        <v>64</v>
      </c>
      <c r="F80" s="202" t="s">
        <v>182</v>
      </c>
      <c r="G80" s="215">
        <v>0.3</v>
      </c>
      <c r="H80" s="216">
        <v>0.14000000000000001</v>
      </c>
      <c r="I80" s="141">
        <v>25</v>
      </c>
      <c r="J80" s="141">
        <v>60</v>
      </c>
      <c r="K80" s="186">
        <v>49</v>
      </c>
      <c r="L80" s="217">
        <f>AVERAGE(369,210,300,400,321)</f>
        <v>320</v>
      </c>
      <c r="M80" s="218" t="s">
        <v>881</v>
      </c>
      <c r="N80" s="217">
        <f>AVERAGE(456,424,369,470,513,419)</f>
        <v>441.83333333333331</v>
      </c>
      <c r="O80" s="218" t="s">
        <v>881</v>
      </c>
      <c r="P80" s="203">
        <v>415</v>
      </c>
      <c r="Q80" s="141" t="s">
        <v>606</v>
      </c>
      <c r="R80" s="186" t="s">
        <v>30</v>
      </c>
      <c r="S80" s="203">
        <v>450</v>
      </c>
      <c r="T80" s="141" t="s">
        <v>583</v>
      </c>
      <c r="U80" s="186" t="s">
        <v>28</v>
      </c>
    </row>
    <row r="81" spans="1:21" s="149" customFormat="1" ht="12.6" customHeight="1">
      <c r="A81" s="213" t="s">
        <v>181</v>
      </c>
      <c r="B81" s="213" t="s">
        <v>448</v>
      </c>
      <c r="C81" s="141">
        <v>50</v>
      </c>
      <c r="D81" s="142">
        <v>1.2</v>
      </c>
      <c r="E81" s="141">
        <v>80</v>
      </c>
      <c r="F81" s="202" t="s">
        <v>182</v>
      </c>
      <c r="G81" s="215">
        <v>0.45</v>
      </c>
      <c r="H81" s="216">
        <v>0.28499999999999998</v>
      </c>
      <c r="I81" s="141">
        <v>43</v>
      </c>
      <c r="J81" s="141">
        <v>65</v>
      </c>
      <c r="K81" s="186">
        <v>49</v>
      </c>
      <c r="L81" s="203">
        <f>AVERAGE(366,399,368,420,380,410,458,466,415,425)</f>
        <v>410.7</v>
      </c>
      <c r="M81" s="204" t="s">
        <v>1092</v>
      </c>
      <c r="N81" s="203">
        <f>AVERAGE(479,695,620,540,486,590,565,750,736,650)</f>
        <v>611.1</v>
      </c>
      <c r="O81" s="204" t="s">
        <v>881</v>
      </c>
      <c r="P81" s="203">
        <v>490</v>
      </c>
      <c r="Q81" s="142" t="s">
        <v>813</v>
      </c>
      <c r="R81" s="186" t="s">
        <v>32</v>
      </c>
      <c r="S81" s="203">
        <v>850</v>
      </c>
      <c r="T81" s="142" t="s">
        <v>765</v>
      </c>
      <c r="U81" s="186" t="s">
        <v>446</v>
      </c>
    </row>
    <row r="82" spans="1:21" s="161" customFormat="1" ht="12.6" customHeight="1">
      <c r="A82" s="161" t="s">
        <v>181</v>
      </c>
      <c r="B82" s="161" t="s">
        <v>605</v>
      </c>
      <c r="C82" s="142">
        <v>50</v>
      </c>
      <c r="D82" s="219">
        <v>1.8</v>
      </c>
      <c r="E82" s="141">
        <v>80</v>
      </c>
      <c r="F82" s="215" t="s">
        <v>182</v>
      </c>
      <c r="G82" s="215">
        <v>0.45</v>
      </c>
      <c r="H82" s="216">
        <v>0.17</v>
      </c>
      <c r="I82" s="141">
        <v>31</v>
      </c>
      <c r="J82" s="141">
        <v>61</v>
      </c>
      <c r="K82" s="204">
        <v>49</v>
      </c>
      <c r="L82" s="203">
        <f>AVERAGE(0)</f>
        <v>0</v>
      </c>
      <c r="M82" s="204" t="s">
        <v>16</v>
      </c>
      <c r="N82" s="203">
        <f>AVERAGE(149)</f>
        <v>149</v>
      </c>
      <c r="O82" s="142" t="s">
        <v>881</v>
      </c>
      <c r="P82" s="220">
        <v>60</v>
      </c>
      <c r="Q82" s="142" t="s">
        <v>881</v>
      </c>
      <c r="R82" s="186" t="s">
        <v>32</v>
      </c>
      <c r="S82" s="220">
        <v>85</v>
      </c>
      <c r="T82" s="142" t="s">
        <v>765</v>
      </c>
      <c r="U82" s="204" t="s">
        <v>32</v>
      </c>
    </row>
    <row r="83" spans="1:21" ht="12.6" customHeight="1">
      <c r="A83" s="213" t="s">
        <v>181</v>
      </c>
      <c r="B83" s="213" t="s">
        <v>613</v>
      </c>
      <c r="C83" s="141">
        <v>55</v>
      </c>
      <c r="D83" s="142">
        <v>1.2</v>
      </c>
      <c r="E83" s="141">
        <v>80</v>
      </c>
      <c r="F83" s="202" t="s">
        <v>182</v>
      </c>
      <c r="G83" s="215">
        <v>0.45</v>
      </c>
      <c r="H83" s="216">
        <v>0.31</v>
      </c>
      <c r="I83" s="141">
        <v>47</v>
      </c>
      <c r="J83" s="141">
        <v>65</v>
      </c>
      <c r="K83" s="186">
        <v>49</v>
      </c>
      <c r="L83" s="203">
        <f>AVERAGE(290,349,323,280,249,257,340,223,365)</f>
        <v>297.33333333333331</v>
      </c>
      <c r="M83" s="204" t="s">
        <v>1092</v>
      </c>
      <c r="N83" s="203">
        <f>AVERAGE(397,390,428,400,340,355,390,397,425)</f>
        <v>391.33333333333331</v>
      </c>
      <c r="O83" s="204" t="s">
        <v>1092</v>
      </c>
      <c r="P83" s="203">
        <v>500</v>
      </c>
      <c r="Q83" s="142" t="s">
        <v>821</v>
      </c>
      <c r="R83" s="186" t="s">
        <v>30</v>
      </c>
      <c r="S83" s="203">
        <v>750</v>
      </c>
      <c r="T83" s="142" t="s">
        <v>765</v>
      </c>
      <c r="U83" s="186" t="s">
        <v>446</v>
      </c>
    </row>
    <row r="84" spans="1:21" ht="12.6" customHeight="1">
      <c r="A84" s="213" t="s">
        <v>181</v>
      </c>
      <c r="B84" s="213" t="s">
        <v>612</v>
      </c>
      <c r="C84" s="141">
        <v>85</v>
      </c>
      <c r="D84" s="142">
        <v>2</v>
      </c>
      <c r="E84" s="141">
        <f>C84*1.6</f>
        <v>136</v>
      </c>
      <c r="F84" s="202" t="s">
        <v>182</v>
      </c>
      <c r="G84" s="215">
        <v>0.85</v>
      </c>
      <c r="H84" s="216">
        <v>0.26</v>
      </c>
      <c r="I84" s="141">
        <v>48</v>
      </c>
      <c r="J84" s="141">
        <v>60</v>
      </c>
      <c r="K84" s="186">
        <v>49</v>
      </c>
      <c r="L84" s="203">
        <f>AVERAGE(202,180,230,180,189,203,243,258,238,241,259)</f>
        <v>220.27272727272728</v>
      </c>
      <c r="M84" s="204" t="s">
        <v>1092</v>
      </c>
      <c r="N84" s="203">
        <f>AVERAGE(354,259,350,338,389,335,368,348,398)</f>
        <v>348.77777777777777</v>
      </c>
      <c r="O84" s="204" t="s">
        <v>1008</v>
      </c>
      <c r="P84" s="203">
        <v>367</v>
      </c>
      <c r="Q84" s="142" t="s">
        <v>821</v>
      </c>
      <c r="R84" s="186" t="s">
        <v>30</v>
      </c>
      <c r="S84" s="203">
        <v>245</v>
      </c>
      <c r="T84" s="142" t="s">
        <v>734</v>
      </c>
      <c r="U84" s="186" t="s">
        <v>28</v>
      </c>
    </row>
    <row r="85" spans="1:21" s="161" customFormat="1" ht="12.6" customHeight="1">
      <c r="A85" s="205" t="s">
        <v>181</v>
      </c>
      <c r="B85" s="205" t="s">
        <v>522</v>
      </c>
      <c r="C85" s="211">
        <v>90</v>
      </c>
      <c r="D85" s="211">
        <v>2</v>
      </c>
      <c r="E85" s="172">
        <v>144</v>
      </c>
      <c r="F85" s="212" t="s">
        <v>182</v>
      </c>
      <c r="G85" s="195">
        <v>0.4</v>
      </c>
      <c r="H85" s="176">
        <v>0.55000000000000004</v>
      </c>
      <c r="I85" s="172">
        <v>71</v>
      </c>
      <c r="J85" s="172">
        <v>72</v>
      </c>
      <c r="K85" s="172">
        <v>55</v>
      </c>
      <c r="L85" s="197">
        <f>AVERAGE(695,699,702,825,685,862,859,754,900,767,750,800)</f>
        <v>774.83333333333337</v>
      </c>
      <c r="M85" s="206" t="s">
        <v>1092</v>
      </c>
      <c r="N85" s="197">
        <f>AVERAGE(846,950,1080,1060,1012,1048,966,998,998,1170,911,999)</f>
        <v>1003.1666666666666</v>
      </c>
      <c r="O85" s="206" t="s">
        <v>1001</v>
      </c>
      <c r="P85" s="197">
        <v>1080</v>
      </c>
      <c r="Q85" s="206" t="s">
        <v>881</v>
      </c>
      <c r="R85" s="172" t="s">
        <v>30</v>
      </c>
      <c r="S85" s="197" t="s">
        <v>16</v>
      </c>
      <c r="T85" s="206" t="s">
        <v>16</v>
      </c>
      <c r="U85" s="188" t="s">
        <v>16</v>
      </c>
    </row>
    <row r="86" spans="1:21" s="161" customFormat="1" ht="12.6" customHeight="1">
      <c r="A86" s="213" t="s">
        <v>181</v>
      </c>
      <c r="B86" s="213" t="s">
        <v>590</v>
      </c>
      <c r="C86" s="142">
        <v>100</v>
      </c>
      <c r="D86" s="142">
        <v>2</v>
      </c>
      <c r="E86" s="141">
        <v>160</v>
      </c>
      <c r="F86" s="214" t="s">
        <v>182</v>
      </c>
      <c r="G86" s="215">
        <v>0.7</v>
      </c>
      <c r="H86" s="216">
        <v>0.52</v>
      </c>
      <c r="I86" s="141">
        <v>72</v>
      </c>
      <c r="J86" s="141">
        <v>70</v>
      </c>
      <c r="K86" s="141">
        <v>55</v>
      </c>
      <c r="L86" s="203">
        <f>AVERAGE(660,476,469,475,600,560,740,665)</f>
        <v>580.625</v>
      </c>
      <c r="M86" s="160" t="s">
        <v>1092</v>
      </c>
      <c r="N86" s="203">
        <f>AVERAGE(928,898,992,900,1019,958,998,950)</f>
        <v>955.375</v>
      </c>
      <c r="O86" s="160" t="s">
        <v>1008</v>
      </c>
      <c r="P86" s="203">
        <f>889*CA.US</f>
        <v>675.64</v>
      </c>
      <c r="Q86" s="160" t="s">
        <v>1001</v>
      </c>
      <c r="R86" s="141" t="s">
        <v>623</v>
      </c>
      <c r="S86" s="203" t="s">
        <v>16</v>
      </c>
      <c r="T86" s="160" t="s">
        <v>16</v>
      </c>
      <c r="U86" s="186" t="s">
        <v>16</v>
      </c>
    </row>
    <row r="87" spans="1:21" s="161" customFormat="1" ht="12.6" customHeight="1">
      <c r="A87" s="161" t="s">
        <v>181</v>
      </c>
      <c r="B87" s="161" t="s">
        <v>1036</v>
      </c>
      <c r="C87" s="142">
        <v>135</v>
      </c>
      <c r="D87" s="219">
        <v>3.5</v>
      </c>
      <c r="E87" s="141">
        <f>C87*1.6</f>
        <v>216</v>
      </c>
      <c r="F87" s="215" t="s">
        <v>182</v>
      </c>
      <c r="G87" s="215">
        <v>1.5</v>
      </c>
      <c r="H87" s="216">
        <v>0.28999999999999998</v>
      </c>
      <c r="I87" s="141">
        <v>73.099999999999994</v>
      </c>
      <c r="J87" s="141">
        <v>60.5</v>
      </c>
      <c r="K87" s="204">
        <v>49</v>
      </c>
      <c r="L87" s="203">
        <f>AVERAGE(32,26,25,37)</f>
        <v>30</v>
      </c>
      <c r="M87" s="204" t="s">
        <v>1092</v>
      </c>
      <c r="N87" s="203">
        <f>AVERAGE(60,55,48,60)</f>
        <v>55.75</v>
      </c>
      <c r="O87" s="142" t="s">
        <v>1092</v>
      </c>
      <c r="P87" s="220" t="s">
        <v>16</v>
      </c>
      <c r="Q87" s="142" t="s">
        <v>16</v>
      </c>
      <c r="R87" s="186" t="s">
        <v>16</v>
      </c>
      <c r="S87" s="220" t="s">
        <v>16</v>
      </c>
      <c r="T87" s="142" t="s">
        <v>16</v>
      </c>
      <c r="U87" s="204" t="s">
        <v>16</v>
      </c>
    </row>
    <row r="88" spans="1:21" ht="12.6" customHeight="1">
      <c r="A88" s="213" t="s">
        <v>181</v>
      </c>
      <c r="B88" s="213" t="s">
        <v>611</v>
      </c>
      <c r="C88" s="141">
        <v>135</v>
      </c>
      <c r="D88" s="142">
        <v>4.5</v>
      </c>
      <c r="E88" s="141">
        <f>1.6*C88</f>
        <v>216</v>
      </c>
      <c r="F88" s="202" t="s">
        <v>182</v>
      </c>
      <c r="G88" s="215" t="s">
        <v>31</v>
      </c>
      <c r="H88" s="216">
        <v>0.32</v>
      </c>
      <c r="I88" s="141">
        <v>47</v>
      </c>
      <c r="J88" s="141">
        <v>60</v>
      </c>
      <c r="K88" s="186">
        <v>55</v>
      </c>
      <c r="L88" s="203">
        <f>AVERAGE(119,117,195,225,230,155,200,225,249,182)</f>
        <v>189.7</v>
      </c>
      <c r="M88" s="186" t="s">
        <v>881</v>
      </c>
      <c r="N88" s="141">
        <f>AVERAGE(268,307,292,350,360,300)</f>
        <v>312.83333333333331</v>
      </c>
      <c r="O88" s="142" t="s">
        <v>1001</v>
      </c>
      <c r="P88" s="203">
        <v>165</v>
      </c>
      <c r="Q88" s="142" t="s">
        <v>821</v>
      </c>
      <c r="R88" s="186" t="s">
        <v>33</v>
      </c>
      <c r="S88" s="203">
        <v>245</v>
      </c>
      <c r="T88" s="142" t="s">
        <v>637</v>
      </c>
      <c r="U88" s="186" t="s">
        <v>30</v>
      </c>
    </row>
    <row r="89" spans="1:21" ht="12.6" customHeight="1">
      <c r="A89" s="213" t="s">
        <v>181</v>
      </c>
      <c r="B89" s="213" t="s">
        <v>816</v>
      </c>
      <c r="C89" s="141">
        <v>180</v>
      </c>
      <c r="D89" s="142">
        <v>2</v>
      </c>
      <c r="E89" s="141">
        <v>288</v>
      </c>
      <c r="F89" s="202" t="s">
        <v>182</v>
      </c>
      <c r="G89" s="215">
        <v>1.58</v>
      </c>
      <c r="H89" s="216">
        <v>1.9</v>
      </c>
      <c r="I89" s="141">
        <v>173</v>
      </c>
      <c r="J89" s="141">
        <v>107</v>
      </c>
      <c r="K89" s="186">
        <v>100</v>
      </c>
      <c r="L89" s="203">
        <f>AVERAGE(3125,2900,2970,2500)</f>
        <v>2873.75</v>
      </c>
      <c r="M89" s="186" t="s">
        <v>1092</v>
      </c>
      <c r="N89" s="141">
        <f>AVERAGE(7890,5453)</f>
        <v>6671.5</v>
      </c>
      <c r="O89" s="142" t="s">
        <v>765</v>
      </c>
      <c r="P89" s="203">
        <v>2300</v>
      </c>
      <c r="Q89" s="142" t="s">
        <v>637</v>
      </c>
      <c r="R89" s="186" t="s">
        <v>446</v>
      </c>
      <c r="S89" s="203" t="s">
        <v>16</v>
      </c>
      <c r="T89" s="142" t="s">
        <v>16</v>
      </c>
      <c r="U89" s="186" t="s">
        <v>16</v>
      </c>
    </row>
    <row r="90" spans="1:21" s="161" customFormat="1" ht="12.6" customHeight="1">
      <c r="A90" s="161" t="s">
        <v>181</v>
      </c>
      <c r="B90" s="161" t="s">
        <v>587</v>
      </c>
      <c r="C90" s="142">
        <v>200</v>
      </c>
      <c r="D90" s="219">
        <v>4</v>
      </c>
      <c r="E90" s="141">
        <v>288</v>
      </c>
      <c r="F90" s="215" t="s">
        <v>182</v>
      </c>
      <c r="G90" s="215">
        <v>2.5</v>
      </c>
      <c r="H90" s="216">
        <v>0.51</v>
      </c>
      <c r="I90" s="141">
        <v>127</v>
      </c>
      <c r="J90" s="141">
        <v>67</v>
      </c>
      <c r="K90" s="204">
        <v>55</v>
      </c>
      <c r="L90" s="203">
        <f>AVERAGE(109,100,109)</f>
        <v>106</v>
      </c>
      <c r="M90" s="204" t="s">
        <v>881</v>
      </c>
      <c r="N90" s="203">
        <f>AVERAGE(175,179,165,179)</f>
        <v>174.5</v>
      </c>
      <c r="O90" s="142" t="s">
        <v>1001</v>
      </c>
      <c r="P90" s="220">
        <v>100</v>
      </c>
      <c r="Q90" s="142" t="s">
        <v>862</v>
      </c>
      <c r="R90" s="186" t="s">
        <v>32</v>
      </c>
      <c r="S90" s="220" t="s">
        <v>16</v>
      </c>
      <c r="T90" s="142" t="s">
        <v>16</v>
      </c>
      <c r="U90" s="204" t="s">
        <v>16</v>
      </c>
    </row>
    <row r="91" spans="1:21" ht="12.6" customHeight="1">
      <c r="A91" s="213" t="s">
        <v>181</v>
      </c>
      <c r="B91" s="213" t="s">
        <v>814</v>
      </c>
      <c r="C91" s="141">
        <v>250</v>
      </c>
      <c r="D91" s="142">
        <v>2</v>
      </c>
      <c r="E91" s="141">
        <v>400</v>
      </c>
      <c r="F91" s="202" t="s">
        <v>182</v>
      </c>
      <c r="G91" s="215">
        <v>2.2000000000000002</v>
      </c>
      <c r="H91" s="216">
        <v>3.9</v>
      </c>
      <c r="I91" s="141">
        <v>246</v>
      </c>
      <c r="J91" s="141">
        <v>142</v>
      </c>
      <c r="K91" s="186" t="s">
        <v>107</v>
      </c>
      <c r="L91" s="203">
        <f>AVERAGE(2900)</f>
        <v>2900</v>
      </c>
      <c r="M91" s="204" t="s">
        <v>1008</v>
      </c>
      <c r="N91" s="141">
        <f>AVERAGE(3425)</f>
        <v>3425</v>
      </c>
      <c r="O91" s="142" t="s">
        <v>606</v>
      </c>
      <c r="P91" s="203" t="s">
        <v>16</v>
      </c>
      <c r="Q91" s="142" t="s">
        <v>16</v>
      </c>
      <c r="R91" s="186" t="s">
        <v>16</v>
      </c>
      <c r="S91" s="203">
        <v>4500</v>
      </c>
      <c r="T91" s="142" t="s">
        <v>637</v>
      </c>
      <c r="U91" s="186" t="s">
        <v>446</v>
      </c>
    </row>
    <row r="92" spans="1:21" ht="12.6" customHeight="1">
      <c r="A92" s="205" t="s">
        <v>181</v>
      </c>
      <c r="B92" s="205" t="s">
        <v>815</v>
      </c>
      <c r="C92" s="172">
        <v>350</v>
      </c>
      <c r="D92" s="211">
        <v>2.8</v>
      </c>
      <c r="E92" s="172">
        <v>560</v>
      </c>
      <c r="F92" s="207" t="s">
        <v>182</v>
      </c>
      <c r="G92" s="195">
        <v>3</v>
      </c>
      <c r="H92" s="176">
        <v>3.9</v>
      </c>
      <c r="I92" s="172">
        <v>280</v>
      </c>
      <c r="J92" s="172">
        <v>142</v>
      </c>
      <c r="K92" s="188" t="s">
        <v>107</v>
      </c>
      <c r="L92" s="197">
        <f>AVERAGE(1750,2100)</f>
        <v>1925</v>
      </c>
      <c r="M92" s="188" t="s">
        <v>881</v>
      </c>
      <c r="N92" s="172">
        <f>AVERAGE(3050)</f>
        <v>3050</v>
      </c>
      <c r="O92" s="172" t="s">
        <v>1008</v>
      </c>
      <c r="P92" s="197">
        <v>2000</v>
      </c>
      <c r="Q92" s="172" t="s">
        <v>881</v>
      </c>
      <c r="R92" s="188" t="s">
        <v>32</v>
      </c>
      <c r="S92" s="197">
        <v>6000</v>
      </c>
      <c r="T92" s="172" t="s">
        <v>821</v>
      </c>
      <c r="U92" s="188" t="s">
        <v>446</v>
      </c>
    </row>
    <row r="93" spans="1:21" ht="12.6" customHeight="1">
      <c r="A93" s="213" t="s">
        <v>181</v>
      </c>
      <c r="B93" s="213" t="s">
        <v>771</v>
      </c>
      <c r="C93" s="141" t="s">
        <v>119</v>
      </c>
      <c r="D93" s="142">
        <v>3.6</v>
      </c>
      <c r="E93" s="141" t="s">
        <v>16</v>
      </c>
      <c r="F93" s="202" t="s">
        <v>182</v>
      </c>
      <c r="G93" s="215">
        <v>0.8</v>
      </c>
      <c r="H93" s="216">
        <v>0.4</v>
      </c>
      <c r="I93" s="141">
        <v>74</v>
      </c>
      <c r="J93" s="141">
        <v>67</v>
      </c>
      <c r="K93" s="186">
        <v>55</v>
      </c>
      <c r="L93" s="203">
        <f>AVERAGE(48,53,55)</f>
        <v>52</v>
      </c>
      <c r="M93" s="204" t="s">
        <v>1008</v>
      </c>
      <c r="N93" s="203">
        <f>AVERAGE(150,150,177,174,208,200,279,150)</f>
        <v>186</v>
      </c>
      <c r="O93" s="142" t="s">
        <v>1092</v>
      </c>
      <c r="P93" s="203" t="s">
        <v>16</v>
      </c>
      <c r="Q93" s="142" t="s">
        <v>16</v>
      </c>
      <c r="R93" s="186" t="s">
        <v>16</v>
      </c>
      <c r="S93" s="203" t="s">
        <v>16</v>
      </c>
      <c r="T93" s="142" t="s">
        <v>16</v>
      </c>
      <c r="U93" s="186" t="s">
        <v>16</v>
      </c>
    </row>
    <row r="94" spans="1:21" ht="12.6" customHeight="1">
      <c r="A94" s="205" t="s">
        <v>181</v>
      </c>
      <c r="B94" s="205" t="s">
        <v>589</v>
      </c>
      <c r="C94" s="172" t="s">
        <v>453</v>
      </c>
      <c r="D94" s="211">
        <v>2.8</v>
      </c>
      <c r="E94" s="172" t="s">
        <v>462</v>
      </c>
      <c r="F94" s="207" t="s">
        <v>182</v>
      </c>
      <c r="G94" s="195">
        <v>0.6</v>
      </c>
      <c r="H94" s="176">
        <v>0.65</v>
      </c>
      <c r="I94" s="172">
        <v>99</v>
      </c>
      <c r="J94" s="172">
        <v>69</v>
      </c>
      <c r="K94" s="188">
        <v>62</v>
      </c>
      <c r="L94" s="197">
        <f>AVERAGE(729,619,675,900)</f>
        <v>730.75</v>
      </c>
      <c r="M94" s="188" t="s">
        <v>1001</v>
      </c>
      <c r="N94" s="172">
        <f>AVERAGE(1080,929,1060,930,850)</f>
        <v>969.8</v>
      </c>
      <c r="O94" s="172" t="s">
        <v>1008</v>
      </c>
      <c r="P94" s="197">
        <v>1080</v>
      </c>
      <c r="Q94" s="172" t="s">
        <v>637</v>
      </c>
      <c r="R94" s="188" t="s">
        <v>30</v>
      </c>
      <c r="S94" s="197">
        <v>1600</v>
      </c>
      <c r="T94" s="172" t="s">
        <v>637</v>
      </c>
      <c r="U94" s="188" t="s">
        <v>446</v>
      </c>
    </row>
    <row r="95" spans="1:21" ht="12.6" customHeight="1">
      <c r="A95" s="205" t="s">
        <v>16</v>
      </c>
      <c r="B95" s="205" t="s">
        <v>16</v>
      </c>
      <c r="C95" s="172" t="s">
        <v>16</v>
      </c>
      <c r="D95" s="211" t="s">
        <v>16</v>
      </c>
      <c r="E95" s="172" t="s">
        <v>16</v>
      </c>
      <c r="F95" s="176" t="s">
        <v>16</v>
      </c>
      <c r="G95" s="177" t="s">
        <v>16</v>
      </c>
      <c r="H95" s="176" t="s">
        <v>16</v>
      </c>
      <c r="I95" s="172" t="s">
        <v>16</v>
      </c>
      <c r="J95" s="172" t="s">
        <v>16</v>
      </c>
      <c r="K95" s="172" t="s">
        <v>16</v>
      </c>
      <c r="L95" s="172" t="s">
        <v>16</v>
      </c>
      <c r="M95" s="172" t="s">
        <v>16</v>
      </c>
      <c r="N95" s="172" t="s">
        <v>16</v>
      </c>
      <c r="O95" s="172" t="s">
        <v>16</v>
      </c>
      <c r="P95" s="172" t="s">
        <v>16</v>
      </c>
      <c r="Q95" s="172" t="s">
        <v>16</v>
      </c>
      <c r="R95" s="172" t="s">
        <v>16</v>
      </c>
      <c r="S95" s="172" t="s">
        <v>16</v>
      </c>
      <c r="T95" s="172" t="s">
        <v>16</v>
      </c>
      <c r="U95" s="172" t="s">
        <v>16</v>
      </c>
    </row>
    <row r="96" spans="1:21" s="37" customFormat="1" ht="12.6" customHeight="1">
      <c r="A96" s="243" t="s">
        <v>357</v>
      </c>
      <c r="B96" s="244"/>
      <c r="C96" s="179"/>
      <c r="D96" s="245"/>
      <c r="E96" s="179"/>
      <c r="F96" s="246" t="s">
        <v>16</v>
      </c>
      <c r="G96" s="247" t="s">
        <v>16</v>
      </c>
      <c r="H96" s="248" t="s">
        <v>16</v>
      </c>
      <c r="I96" s="179" t="s">
        <v>16</v>
      </c>
      <c r="J96" s="179" t="s">
        <v>16</v>
      </c>
      <c r="K96" s="179" t="s">
        <v>16</v>
      </c>
      <c r="L96" s="179" t="s">
        <v>16</v>
      </c>
      <c r="M96" s="179" t="s">
        <v>16</v>
      </c>
      <c r="N96" s="179" t="s">
        <v>16</v>
      </c>
      <c r="O96" s="179" t="s">
        <v>16</v>
      </c>
      <c r="P96" s="179" t="s">
        <v>16</v>
      </c>
      <c r="Q96" s="179" t="s">
        <v>16</v>
      </c>
      <c r="R96" s="179" t="s">
        <v>16</v>
      </c>
      <c r="S96" s="179" t="s">
        <v>16</v>
      </c>
      <c r="T96" s="179" t="s">
        <v>16</v>
      </c>
      <c r="U96" s="179" t="s">
        <v>16</v>
      </c>
    </row>
    <row r="97" spans="1:21" s="37" customFormat="1" ht="12.6" customHeight="1">
      <c r="A97" s="161" t="s">
        <v>122</v>
      </c>
      <c r="B97" s="161" t="s">
        <v>868</v>
      </c>
      <c r="C97" s="142">
        <v>15</v>
      </c>
      <c r="D97" s="219">
        <v>3.5</v>
      </c>
      <c r="E97" s="141">
        <v>24</v>
      </c>
      <c r="F97" s="215" t="s">
        <v>121</v>
      </c>
      <c r="G97" s="215">
        <v>0.3</v>
      </c>
      <c r="H97" s="216">
        <v>0.56999999999999995</v>
      </c>
      <c r="I97" s="141">
        <v>82</v>
      </c>
      <c r="J97" s="141">
        <v>80</v>
      </c>
      <c r="K97" s="141" t="s">
        <v>90</v>
      </c>
      <c r="L97" s="203">
        <f>AVERAGE(0)</f>
        <v>0</v>
      </c>
      <c r="M97" s="142" t="s">
        <v>16</v>
      </c>
      <c r="N97" s="203">
        <f>AVERAGE(750,950)</f>
        <v>850</v>
      </c>
      <c r="O97" s="142" t="s">
        <v>862</v>
      </c>
      <c r="P97" s="220" t="s">
        <v>16</v>
      </c>
      <c r="Q97" s="142" t="s">
        <v>16</v>
      </c>
      <c r="R97" s="186" t="s">
        <v>16</v>
      </c>
      <c r="S97" s="220" t="s">
        <v>16</v>
      </c>
      <c r="T97" s="142" t="s">
        <v>16</v>
      </c>
      <c r="U97" s="204" t="s">
        <v>16</v>
      </c>
    </row>
    <row r="98" spans="1:21" s="37" customFormat="1" ht="12.6" customHeight="1">
      <c r="A98" s="213" t="s">
        <v>122</v>
      </c>
      <c r="B98" s="213" t="s">
        <v>867</v>
      </c>
      <c r="C98" s="142">
        <v>15</v>
      </c>
      <c r="D98" s="219">
        <v>3.5</v>
      </c>
      <c r="E98" s="141">
        <v>24</v>
      </c>
      <c r="F98" s="214" t="s">
        <v>121</v>
      </c>
      <c r="G98" s="215" t="s">
        <v>16</v>
      </c>
      <c r="H98" s="216" t="s">
        <v>16</v>
      </c>
      <c r="I98" s="141" t="s">
        <v>16</v>
      </c>
      <c r="J98" s="141" t="s">
        <v>16</v>
      </c>
      <c r="K98" s="141" t="s">
        <v>16</v>
      </c>
      <c r="L98" s="203">
        <f>AVERAGE(807,962,800)</f>
        <v>856.33333333333337</v>
      </c>
      <c r="M98" s="142" t="s">
        <v>881</v>
      </c>
      <c r="N98" s="203">
        <f>AVERAGE(0)</f>
        <v>0</v>
      </c>
      <c r="O98" s="142" t="s">
        <v>16</v>
      </c>
      <c r="P98" s="203" t="s">
        <v>16</v>
      </c>
      <c r="Q98" s="142" t="s">
        <v>16</v>
      </c>
      <c r="R98" s="141" t="s">
        <v>16</v>
      </c>
      <c r="S98" s="203">
        <v>1700</v>
      </c>
      <c r="T98" s="142" t="s">
        <v>550</v>
      </c>
      <c r="U98" s="186" t="s">
        <v>446</v>
      </c>
    </row>
    <row r="99" spans="1:21" s="37" customFormat="1" ht="12.6" customHeight="1">
      <c r="A99" s="161" t="s">
        <v>122</v>
      </c>
      <c r="B99" s="161" t="s">
        <v>224</v>
      </c>
      <c r="C99" s="142">
        <v>17</v>
      </c>
      <c r="D99" s="142">
        <v>4</v>
      </c>
      <c r="E99" s="141">
        <v>27.2</v>
      </c>
      <c r="F99" s="215" t="s">
        <v>121</v>
      </c>
      <c r="G99" s="215">
        <v>0.2</v>
      </c>
      <c r="H99" s="216">
        <v>0.22800000000000001</v>
      </c>
      <c r="I99" s="141">
        <v>32</v>
      </c>
      <c r="J99" s="141">
        <v>67</v>
      </c>
      <c r="K99" s="141" t="s">
        <v>90</v>
      </c>
      <c r="L99" s="203">
        <f>AVERAGE(263,209,203,180,193,209,212,186,225,269,225)</f>
        <v>215.81818181818181</v>
      </c>
      <c r="M99" s="204" t="s">
        <v>881</v>
      </c>
      <c r="N99" s="141">
        <f>AVERAGE(263,269,245,270,255,265,298,294)</f>
        <v>269.875</v>
      </c>
      <c r="O99" s="204" t="s">
        <v>881</v>
      </c>
      <c r="P99" s="203">
        <v>300</v>
      </c>
      <c r="Q99" s="142" t="s">
        <v>821</v>
      </c>
      <c r="R99" s="141" t="s">
        <v>32</v>
      </c>
      <c r="S99" s="203" t="s">
        <v>16</v>
      </c>
      <c r="T99" s="142" t="s">
        <v>16</v>
      </c>
      <c r="U99" s="186" t="s">
        <v>16</v>
      </c>
    </row>
    <row r="100" spans="1:21" s="37" customFormat="1" ht="12.6" customHeight="1">
      <c r="A100" s="161" t="s">
        <v>122</v>
      </c>
      <c r="B100" s="161" t="s">
        <v>342</v>
      </c>
      <c r="C100" s="142">
        <v>17</v>
      </c>
      <c r="D100" s="219">
        <v>4</v>
      </c>
      <c r="E100" s="141">
        <v>27.2</v>
      </c>
      <c r="F100" s="215" t="s">
        <v>121</v>
      </c>
      <c r="G100" s="215">
        <v>0.2</v>
      </c>
      <c r="H100" s="216">
        <v>0.22800000000000001</v>
      </c>
      <c r="I100" s="141">
        <v>32</v>
      </c>
      <c r="J100" s="141">
        <v>67</v>
      </c>
      <c r="K100" s="141" t="s">
        <v>90</v>
      </c>
      <c r="L100" s="203">
        <f>AVERAGE(268,299,245,190,195,221,208,265,265)</f>
        <v>239.55555555555554</v>
      </c>
      <c r="M100" s="204" t="s">
        <v>881</v>
      </c>
      <c r="N100" s="141">
        <f>AVERAGE(397,350,355,255,350,315,461,400)</f>
        <v>360.375</v>
      </c>
      <c r="O100" s="204" t="s">
        <v>1092</v>
      </c>
      <c r="P100" s="220">
        <v>250</v>
      </c>
      <c r="Q100" s="142" t="s">
        <v>745</v>
      </c>
      <c r="R100" s="186" t="s">
        <v>28</v>
      </c>
      <c r="S100" s="220" t="s">
        <v>16</v>
      </c>
      <c r="T100" s="142" t="s">
        <v>16</v>
      </c>
      <c r="U100" s="204" t="s">
        <v>16</v>
      </c>
    </row>
    <row r="101" spans="1:21" s="37" customFormat="1" ht="12.6" customHeight="1">
      <c r="A101" s="161" t="s">
        <v>122</v>
      </c>
      <c r="B101" s="161" t="s">
        <v>211</v>
      </c>
      <c r="C101" s="142">
        <v>20</v>
      </c>
      <c r="D101" s="142">
        <v>4.5</v>
      </c>
      <c r="E101" s="141">
        <v>32</v>
      </c>
      <c r="F101" s="215" t="s">
        <v>121</v>
      </c>
      <c r="G101" s="215">
        <v>0.2</v>
      </c>
      <c r="H101" s="216">
        <v>0.251</v>
      </c>
      <c r="I101" s="141">
        <v>45</v>
      </c>
      <c r="J101" s="141">
        <v>62</v>
      </c>
      <c r="K101" s="141">
        <v>77</v>
      </c>
      <c r="L101" s="203">
        <f>AVERAGE(100,150,153,136,149)</f>
        <v>137.6</v>
      </c>
      <c r="M101" s="204" t="s">
        <v>881</v>
      </c>
      <c r="N101" s="141">
        <f>AVERAGE(275)</f>
        <v>275</v>
      </c>
      <c r="O101" s="204" t="s">
        <v>821</v>
      </c>
      <c r="P101" s="220">
        <v>200</v>
      </c>
      <c r="Q101" s="142" t="s">
        <v>734</v>
      </c>
      <c r="R101" s="186" t="s">
        <v>32</v>
      </c>
      <c r="S101" s="220" t="s">
        <v>16</v>
      </c>
      <c r="T101" s="142" t="s">
        <v>16</v>
      </c>
      <c r="U101" s="204" t="s">
        <v>16</v>
      </c>
    </row>
    <row r="102" spans="1:21" ht="12" customHeight="1">
      <c r="A102" s="205" t="s">
        <v>122</v>
      </c>
      <c r="B102" s="205" t="s">
        <v>212</v>
      </c>
      <c r="C102" s="172">
        <v>20</v>
      </c>
      <c r="D102" s="295">
        <v>4.5</v>
      </c>
      <c r="E102" s="172">
        <v>32</v>
      </c>
      <c r="F102" s="207" t="s">
        <v>121</v>
      </c>
      <c r="G102" s="195">
        <v>0.2</v>
      </c>
      <c r="H102" s="176">
        <v>0.251</v>
      </c>
      <c r="I102" s="172">
        <v>45</v>
      </c>
      <c r="J102" s="172">
        <v>62</v>
      </c>
      <c r="K102" s="172">
        <v>77</v>
      </c>
      <c r="L102" s="197">
        <f>AVERAGE(140,190,155,153,128,155)</f>
        <v>153.5</v>
      </c>
      <c r="M102" s="188" t="s">
        <v>1092</v>
      </c>
      <c r="N102" s="197">
        <f>AVERAGE(274,259,189,234,253,249,278,215)</f>
        <v>243.875</v>
      </c>
      <c r="O102" s="188" t="s">
        <v>1092</v>
      </c>
      <c r="P102" s="197" t="s">
        <v>16</v>
      </c>
      <c r="Q102" s="172" t="s">
        <v>16</v>
      </c>
      <c r="R102" s="188" t="s">
        <v>16</v>
      </c>
      <c r="S102" s="197" t="s">
        <v>16</v>
      </c>
      <c r="T102" s="172" t="s">
        <v>16</v>
      </c>
      <c r="U102" s="188" t="s">
        <v>16</v>
      </c>
    </row>
    <row r="103" spans="1:21" s="161" customFormat="1" ht="12.6" customHeight="1">
      <c r="A103" s="161" t="s">
        <v>122</v>
      </c>
      <c r="B103" s="161" t="s">
        <v>743</v>
      </c>
      <c r="C103" s="142">
        <v>35</v>
      </c>
      <c r="D103" s="219">
        <v>2</v>
      </c>
      <c r="E103" s="141">
        <f>C103*1.6</f>
        <v>56</v>
      </c>
      <c r="F103" s="215" t="s">
        <v>121</v>
      </c>
      <c r="G103" s="215">
        <v>0.4</v>
      </c>
      <c r="H103" s="216">
        <v>0.24199999999999999</v>
      </c>
      <c r="I103" s="141">
        <v>58</v>
      </c>
      <c r="J103" s="141">
        <v>54</v>
      </c>
      <c r="K103" s="204">
        <v>49</v>
      </c>
      <c r="L103" s="203">
        <f>AVERAGE(148,150,146,170,185,225,170,223,170)</f>
        <v>176.33333333333334</v>
      </c>
      <c r="M103" s="204" t="s">
        <v>1001</v>
      </c>
      <c r="N103" s="203">
        <f>AVERAGE(249,258)</f>
        <v>253.5</v>
      </c>
      <c r="O103" s="142" t="s">
        <v>837</v>
      </c>
      <c r="P103" s="220">
        <v>200</v>
      </c>
      <c r="Q103" s="142" t="s">
        <v>881</v>
      </c>
      <c r="R103" s="186" t="s">
        <v>30</v>
      </c>
      <c r="S103" s="220">
        <v>150</v>
      </c>
      <c r="T103" s="142" t="s">
        <v>881</v>
      </c>
      <c r="U103" s="204" t="s">
        <v>28</v>
      </c>
    </row>
    <row r="104" spans="1:21" s="37" customFormat="1" ht="12.6" customHeight="1">
      <c r="A104" s="161" t="s">
        <v>122</v>
      </c>
      <c r="B104" s="161" t="s">
        <v>588</v>
      </c>
      <c r="C104" s="142">
        <v>85</v>
      </c>
      <c r="D104" s="142">
        <v>1.8</v>
      </c>
      <c r="E104" s="141">
        <v>136</v>
      </c>
      <c r="F104" s="215" t="s">
        <v>121</v>
      </c>
      <c r="G104" s="215">
        <v>0.85</v>
      </c>
      <c r="H104" s="216">
        <v>0.33</v>
      </c>
      <c r="I104" s="141">
        <v>55</v>
      </c>
      <c r="J104" s="141">
        <v>63</v>
      </c>
      <c r="K104" s="204">
        <v>55</v>
      </c>
      <c r="L104" s="203">
        <f>AVERAGE(275,334,250,329,280,255,335)</f>
        <v>294</v>
      </c>
      <c r="M104" s="204" t="s">
        <v>1008</v>
      </c>
      <c r="N104" s="203">
        <f>AVERAGE(349,405,339,438,360,370,400,325)</f>
        <v>373.25</v>
      </c>
      <c r="O104" s="142" t="s">
        <v>1001</v>
      </c>
      <c r="P104" s="220" t="s">
        <v>16</v>
      </c>
      <c r="Q104" s="142" t="s">
        <v>16</v>
      </c>
      <c r="R104" s="186" t="s">
        <v>16</v>
      </c>
      <c r="S104" s="220" t="s">
        <v>16</v>
      </c>
      <c r="T104" s="142" t="s">
        <v>16</v>
      </c>
      <c r="U104" s="204" t="s">
        <v>16</v>
      </c>
    </row>
    <row r="105" spans="1:21" s="37" customFormat="1" ht="12.6" customHeight="1">
      <c r="A105" s="161" t="s">
        <v>122</v>
      </c>
      <c r="B105" s="161" t="s">
        <v>164</v>
      </c>
      <c r="C105" s="142">
        <v>85</v>
      </c>
      <c r="D105" s="219">
        <v>1.8</v>
      </c>
      <c r="E105" s="141">
        <v>136</v>
      </c>
      <c r="F105" s="215" t="s">
        <v>121</v>
      </c>
      <c r="G105" s="215">
        <v>0.85</v>
      </c>
      <c r="H105" s="216">
        <v>0.34100000000000003</v>
      </c>
      <c r="I105" s="141">
        <v>57</v>
      </c>
      <c r="J105" s="141">
        <v>65</v>
      </c>
      <c r="K105" s="186">
        <v>58</v>
      </c>
      <c r="L105" s="141">
        <f>AVERAGE(360,320,388,400,279,355,377,335,361)</f>
        <v>352.77777777777777</v>
      </c>
      <c r="M105" s="204" t="s">
        <v>1092</v>
      </c>
      <c r="N105" s="141">
        <f>AVERAGE(409,450,456,429,550,448,459,500,478,475,496)</f>
        <v>468.18181818181819</v>
      </c>
      <c r="O105" s="142" t="s">
        <v>1092</v>
      </c>
      <c r="P105" s="220">
        <v>572</v>
      </c>
      <c r="Q105" s="142" t="s">
        <v>765</v>
      </c>
      <c r="R105" s="186" t="s">
        <v>30</v>
      </c>
      <c r="S105" s="220">
        <v>575</v>
      </c>
      <c r="T105" s="142" t="s">
        <v>550</v>
      </c>
      <c r="U105" s="204" t="s">
        <v>446</v>
      </c>
    </row>
    <row r="106" spans="1:21" s="37" customFormat="1" ht="12.6" customHeight="1">
      <c r="A106" s="213" t="s">
        <v>122</v>
      </c>
      <c r="B106" s="213" t="s">
        <v>165</v>
      </c>
      <c r="C106" s="142">
        <v>135</v>
      </c>
      <c r="D106" s="219">
        <v>2.5</v>
      </c>
      <c r="E106" s="141">
        <v>216</v>
      </c>
      <c r="F106" s="214" t="s">
        <v>121</v>
      </c>
      <c r="G106" s="215">
        <v>1.5</v>
      </c>
      <c r="H106" s="216">
        <v>0.44400000000000001</v>
      </c>
      <c r="I106" s="141">
        <v>86</v>
      </c>
      <c r="J106" s="141">
        <v>67</v>
      </c>
      <c r="K106" s="141">
        <v>58</v>
      </c>
      <c r="L106" s="203">
        <f>AVERAGE(175,152,143,168,184,156,188,139,189,139,130,149)</f>
        <v>159.33333333333334</v>
      </c>
      <c r="M106" s="142" t="s">
        <v>1092</v>
      </c>
      <c r="N106" s="203">
        <f>AVERAGE(252,258,243,218,264,203,280,280,255,250,240)</f>
        <v>249.36363636363637</v>
      </c>
      <c r="O106" s="142" t="s">
        <v>1092</v>
      </c>
      <c r="P106" s="203">
        <v>140</v>
      </c>
      <c r="Q106" s="142" t="s">
        <v>821</v>
      </c>
      <c r="R106" s="141" t="s">
        <v>30</v>
      </c>
      <c r="S106" s="203">
        <v>195</v>
      </c>
      <c r="T106" s="142" t="s">
        <v>639</v>
      </c>
      <c r="U106" s="186" t="s">
        <v>29</v>
      </c>
    </row>
    <row r="107" spans="1:21" s="37" customFormat="1" ht="12.6" customHeight="1">
      <c r="A107" s="205" t="s">
        <v>122</v>
      </c>
      <c r="B107" s="205" t="s">
        <v>213</v>
      </c>
      <c r="C107" s="211">
        <v>500</v>
      </c>
      <c r="D107" s="295">
        <v>4.5</v>
      </c>
      <c r="E107" s="172">
        <v>800</v>
      </c>
      <c r="F107" s="212" t="s">
        <v>121</v>
      </c>
      <c r="G107" s="195">
        <v>10</v>
      </c>
      <c r="H107" s="176">
        <v>3.5</v>
      </c>
      <c r="I107" s="172" t="s">
        <v>16</v>
      </c>
      <c r="J107" s="172" t="s">
        <v>16</v>
      </c>
      <c r="K107" s="172">
        <v>46</v>
      </c>
      <c r="L107" s="197">
        <f>AVERAGE(340,368,304,395,367,356,365)</f>
        <v>356.42857142857144</v>
      </c>
      <c r="M107" s="206" t="s">
        <v>1092</v>
      </c>
      <c r="N107" s="197">
        <f>AVERAGE(420,495,420,500,500,500)</f>
        <v>472.5</v>
      </c>
      <c r="O107" s="206" t="s">
        <v>1001</v>
      </c>
      <c r="P107" s="197">
        <v>500</v>
      </c>
      <c r="Q107" s="206" t="s">
        <v>881</v>
      </c>
      <c r="R107" s="172" t="s">
        <v>32</v>
      </c>
      <c r="S107" s="197" t="s">
        <v>16</v>
      </c>
      <c r="T107" s="206" t="s">
        <v>16</v>
      </c>
      <c r="U107" s="188" t="s">
        <v>16</v>
      </c>
    </row>
    <row r="108" spans="1:21" s="37" customFormat="1" ht="12.6" customHeight="1">
      <c r="A108" s="243" t="s">
        <v>354</v>
      </c>
      <c r="B108" s="244"/>
      <c r="C108" s="179" t="s">
        <v>16</v>
      </c>
      <c r="D108" s="245" t="s">
        <v>16</v>
      </c>
      <c r="E108" s="179" t="s">
        <v>16</v>
      </c>
      <c r="F108" s="246" t="s">
        <v>16</v>
      </c>
      <c r="G108" s="247" t="s">
        <v>16</v>
      </c>
      <c r="H108" s="248" t="s">
        <v>16</v>
      </c>
      <c r="I108" s="179" t="s">
        <v>16</v>
      </c>
      <c r="J108" s="179" t="s">
        <v>16</v>
      </c>
      <c r="K108" s="179" t="s">
        <v>16</v>
      </c>
      <c r="L108" s="179" t="s">
        <v>16</v>
      </c>
      <c r="M108" s="179" t="s">
        <v>16</v>
      </c>
      <c r="N108" s="179" t="s">
        <v>16</v>
      </c>
      <c r="O108" s="179" t="s">
        <v>16</v>
      </c>
      <c r="P108" s="179" t="s">
        <v>16</v>
      </c>
      <c r="Q108" s="179" t="s">
        <v>16</v>
      </c>
      <c r="R108" s="179" t="s">
        <v>16</v>
      </c>
      <c r="S108" s="179" t="s">
        <v>16</v>
      </c>
      <c r="T108" s="179" t="s">
        <v>16</v>
      </c>
      <c r="U108" s="179" t="s">
        <v>16</v>
      </c>
    </row>
    <row r="109" spans="1:21" s="37" customFormat="1" ht="12.6" customHeight="1">
      <c r="A109" s="161" t="s">
        <v>122</v>
      </c>
      <c r="B109" s="161" t="s">
        <v>850</v>
      </c>
      <c r="C109" s="142">
        <v>15</v>
      </c>
      <c r="D109" s="142">
        <v>3.5</v>
      </c>
      <c r="E109" s="141">
        <v>24</v>
      </c>
      <c r="F109" s="215" t="s">
        <v>120</v>
      </c>
      <c r="G109" s="215">
        <v>0.3</v>
      </c>
      <c r="H109" s="216">
        <v>0.55000000000000004</v>
      </c>
      <c r="I109" s="141">
        <v>82</v>
      </c>
      <c r="J109" s="141">
        <v>80</v>
      </c>
      <c r="K109" s="141" t="s">
        <v>90</v>
      </c>
      <c r="L109" s="217">
        <f>AVERAGE(709,620,599)</f>
        <v>642.66666666666663</v>
      </c>
      <c r="M109" s="296" t="s">
        <v>837</v>
      </c>
      <c r="N109" s="141">
        <f>AVERAGE(2140,-2140,945,850,975,933)</f>
        <v>617.16666666666663</v>
      </c>
      <c r="O109" s="142" t="s">
        <v>1001</v>
      </c>
      <c r="P109" s="203">
        <v>800</v>
      </c>
      <c r="Q109" s="142" t="s">
        <v>881</v>
      </c>
      <c r="R109" s="141" t="s">
        <v>32</v>
      </c>
      <c r="S109" s="203" t="s">
        <v>16</v>
      </c>
      <c r="T109" s="142" t="s">
        <v>16</v>
      </c>
      <c r="U109" s="186" t="s">
        <v>16</v>
      </c>
    </row>
    <row r="110" spans="1:21" s="37" customFormat="1" ht="12.6" customHeight="1">
      <c r="A110" s="213" t="s">
        <v>122</v>
      </c>
      <c r="B110" s="213" t="s">
        <v>851</v>
      </c>
      <c r="C110" s="142">
        <v>15</v>
      </c>
      <c r="D110" s="142">
        <v>3.5</v>
      </c>
      <c r="E110" s="141">
        <v>24</v>
      </c>
      <c r="F110" s="214" t="s">
        <v>120</v>
      </c>
      <c r="G110" s="215">
        <v>0.3</v>
      </c>
      <c r="H110" s="216">
        <v>0.6</v>
      </c>
      <c r="I110" s="141">
        <v>82</v>
      </c>
      <c r="J110" s="141">
        <v>80</v>
      </c>
      <c r="K110" s="141">
        <v>1</v>
      </c>
      <c r="L110" s="203">
        <f>AVERAGE(0)</f>
        <v>0</v>
      </c>
      <c r="M110" s="280" t="s">
        <v>16</v>
      </c>
      <c r="N110" s="203">
        <f>AVERAGE(799,795,776,1028,710,600,625,795,1000,750,650)</f>
        <v>775.27272727272725</v>
      </c>
      <c r="O110" s="160" t="s">
        <v>881</v>
      </c>
      <c r="P110" s="203">
        <v>730</v>
      </c>
      <c r="Q110" s="160" t="s">
        <v>765</v>
      </c>
      <c r="R110" s="141" t="s">
        <v>30</v>
      </c>
      <c r="S110" s="203">
        <v>1000</v>
      </c>
      <c r="T110" s="160" t="s">
        <v>765</v>
      </c>
      <c r="U110" s="186" t="s">
        <v>32</v>
      </c>
    </row>
    <row r="111" spans="1:21" s="37" customFormat="1" ht="12.6" customHeight="1">
      <c r="A111" s="213" t="s">
        <v>122</v>
      </c>
      <c r="B111" s="213" t="s">
        <v>242</v>
      </c>
      <c r="C111" s="142">
        <v>15</v>
      </c>
      <c r="D111" s="142">
        <v>3.5</v>
      </c>
      <c r="E111" s="141">
        <v>24</v>
      </c>
      <c r="F111" s="214" t="s">
        <v>123</v>
      </c>
      <c r="G111" s="215">
        <v>0.3</v>
      </c>
      <c r="H111" s="216">
        <v>0.6</v>
      </c>
      <c r="I111" s="141">
        <v>82</v>
      </c>
      <c r="J111" s="141">
        <v>80</v>
      </c>
      <c r="K111" s="141" t="s">
        <v>90</v>
      </c>
      <c r="L111" s="203">
        <f>AVERAGE(700,655,600,811)</f>
        <v>691.5</v>
      </c>
      <c r="M111" s="280" t="s">
        <v>1008</v>
      </c>
      <c r="N111" s="203">
        <f>AVERAGE(1001,1195,1100,1330,945,949)</f>
        <v>1086.6666666666667</v>
      </c>
      <c r="O111" s="160" t="s">
        <v>508</v>
      </c>
      <c r="P111" s="203">
        <v>962</v>
      </c>
      <c r="Q111" s="160" t="s">
        <v>765</v>
      </c>
      <c r="R111" s="141" t="s">
        <v>30</v>
      </c>
      <c r="S111" s="203">
        <v>1000</v>
      </c>
      <c r="T111" s="160" t="s">
        <v>425</v>
      </c>
      <c r="U111" s="186" t="s">
        <v>32</v>
      </c>
    </row>
    <row r="112" spans="1:21" s="37" customFormat="1" ht="12.6" customHeight="1">
      <c r="A112" s="213" t="s">
        <v>122</v>
      </c>
      <c r="B112" s="213" t="s">
        <v>340</v>
      </c>
      <c r="C112" s="142">
        <v>16</v>
      </c>
      <c r="D112" s="142">
        <v>2.8</v>
      </c>
      <c r="E112" s="141">
        <v>25.6</v>
      </c>
      <c r="F112" s="214" t="s">
        <v>123</v>
      </c>
      <c r="G112" s="215">
        <v>0.2</v>
      </c>
      <c r="H112" s="216">
        <v>0.32</v>
      </c>
      <c r="I112" s="141">
        <v>56</v>
      </c>
      <c r="J112" s="141">
        <v>65</v>
      </c>
      <c r="K112" s="141" t="s">
        <v>90</v>
      </c>
      <c r="L112" s="203">
        <f>AVERAGE(424,405,279,322)</f>
        <v>357.5</v>
      </c>
      <c r="M112" s="280" t="s">
        <v>881</v>
      </c>
      <c r="N112" s="203">
        <f>AVERAGE(580,603,600)</f>
        <v>594.33333333333337</v>
      </c>
      <c r="O112" s="160" t="s">
        <v>821</v>
      </c>
      <c r="P112" s="203">
        <v>560</v>
      </c>
      <c r="Q112" s="160" t="s">
        <v>821</v>
      </c>
      <c r="R112" s="141" t="s">
        <v>33</v>
      </c>
      <c r="S112" s="203" t="s">
        <v>16</v>
      </c>
      <c r="T112" s="160" t="s">
        <v>16</v>
      </c>
      <c r="U112" s="186" t="s">
        <v>16</v>
      </c>
    </row>
    <row r="113" spans="1:21" ht="12.6" customHeight="1">
      <c r="A113" s="205" t="s">
        <v>122</v>
      </c>
      <c r="B113" s="205" t="s">
        <v>341</v>
      </c>
      <c r="C113" s="172">
        <v>17</v>
      </c>
      <c r="D113" s="211">
        <v>4</v>
      </c>
      <c r="E113" s="172">
        <v>27.2</v>
      </c>
      <c r="F113" s="207" t="s">
        <v>120</v>
      </c>
      <c r="G113" s="195">
        <v>0.2</v>
      </c>
      <c r="H113" s="176">
        <v>0.23499999999999999</v>
      </c>
      <c r="I113" s="172">
        <v>34</v>
      </c>
      <c r="J113" s="172">
        <v>65</v>
      </c>
      <c r="K113" s="172" t="s">
        <v>90</v>
      </c>
      <c r="L113" s="197">
        <f>AVERAGE(290,280,270,236,280,280)</f>
        <v>272.66666666666669</v>
      </c>
      <c r="M113" s="188" t="s">
        <v>1092</v>
      </c>
      <c r="N113" s="197">
        <f>AVERAGE(358,320,499,499,450,400)</f>
        <v>421</v>
      </c>
      <c r="O113" s="172" t="s">
        <v>1008</v>
      </c>
      <c r="P113" s="197">
        <v>380</v>
      </c>
      <c r="Q113" s="172" t="s">
        <v>677</v>
      </c>
      <c r="R113" s="188" t="s">
        <v>30</v>
      </c>
      <c r="S113" s="197">
        <v>500</v>
      </c>
      <c r="T113" s="172" t="s">
        <v>550</v>
      </c>
      <c r="U113" s="188" t="s">
        <v>446</v>
      </c>
    </row>
    <row r="114" spans="1:21" s="37" customFormat="1" ht="12.6" customHeight="1">
      <c r="A114" s="213" t="s">
        <v>122</v>
      </c>
      <c r="B114" s="213" t="s">
        <v>163</v>
      </c>
      <c r="C114" s="142">
        <v>18</v>
      </c>
      <c r="D114" s="142">
        <v>3.5</v>
      </c>
      <c r="E114" s="141">
        <v>28.8</v>
      </c>
      <c r="F114" s="214" t="s">
        <v>120</v>
      </c>
      <c r="G114" s="215">
        <v>0.25</v>
      </c>
      <c r="H114" s="216">
        <v>0.29499999999999998</v>
      </c>
      <c r="I114" s="141">
        <v>62</v>
      </c>
      <c r="J114" s="141">
        <v>63</v>
      </c>
      <c r="K114" s="141">
        <v>58</v>
      </c>
      <c r="L114" s="203">
        <f>AVERAGE(476,461,455,455,410)</f>
        <v>451.4</v>
      </c>
      <c r="M114" s="280" t="s">
        <v>1092</v>
      </c>
      <c r="N114" s="203">
        <f>AVERAGE(759)</f>
        <v>759</v>
      </c>
      <c r="O114" s="160" t="s">
        <v>863</v>
      </c>
      <c r="P114" s="203">
        <v>480</v>
      </c>
      <c r="Q114" s="160" t="s">
        <v>821</v>
      </c>
      <c r="R114" s="141" t="s">
        <v>33</v>
      </c>
      <c r="S114" s="203">
        <v>950</v>
      </c>
      <c r="T114" s="160" t="s">
        <v>637</v>
      </c>
      <c r="U114" s="186" t="s">
        <v>446</v>
      </c>
    </row>
    <row r="115" spans="1:21" s="37" customFormat="1" ht="12.6" customHeight="1">
      <c r="A115" s="161" t="s">
        <v>122</v>
      </c>
      <c r="B115" s="161" t="s">
        <v>198</v>
      </c>
      <c r="C115" s="142">
        <v>20</v>
      </c>
      <c r="D115" s="142">
        <v>2.8</v>
      </c>
      <c r="E115" s="141">
        <v>32</v>
      </c>
      <c r="F115" s="215" t="s">
        <v>123</v>
      </c>
      <c r="G115" s="215">
        <v>0.25</v>
      </c>
      <c r="H115" s="216">
        <v>0.245</v>
      </c>
      <c r="I115" s="141">
        <v>43.5</v>
      </c>
      <c r="J115" s="141">
        <v>70</v>
      </c>
      <c r="K115" s="141">
        <v>67</v>
      </c>
      <c r="L115" s="203">
        <f>AVERAGE(439,355,443,400,378,375,400,352,430,417,403,481)</f>
        <v>406.08333333333331</v>
      </c>
      <c r="M115" s="204" t="s">
        <v>1092</v>
      </c>
      <c r="N115" s="141">
        <f>AVERAGE(599,428,475,484,538,695,650,485,589)</f>
        <v>549.22222222222217</v>
      </c>
      <c r="O115" s="204" t="s">
        <v>1001</v>
      </c>
      <c r="P115" s="220">
        <v>619</v>
      </c>
      <c r="Q115" s="142" t="s">
        <v>807</v>
      </c>
      <c r="R115" s="186" t="s">
        <v>30</v>
      </c>
      <c r="S115" s="220">
        <v>648</v>
      </c>
      <c r="T115" s="160" t="s">
        <v>821</v>
      </c>
      <c r="U115" s="204" t="s">
        <v>30</v>
      </c>
    </row>
    <row r="116" spans="1:21" s="37" customFormat="1" ht="12.6" customHeight="1">
      <c r="A116" s="161" t="s">
        <v>122</v>
      </c>
      <c r="B116" s="161" t="s">
        <v>595</v>
      </c>
      <c r="C116" s="142">
        <v>20</v>
      </c>
      <c r="D116" s="142">
        <v>4</v>
      </c>
      <c r="E116" s="141">
        <v>32</v>
      </c>
      <c r="F116" s="215" t="s">
        <v>120</v>
      </c>
      <c r="G116" s="215">
        <v>0.25</v>
      </c>
      <c r="H116" s="216">
        <v>0.3</v>
      </c>
      <c r="I116" s="141">
        <v>57</v>
      </c>
      <c r="J116" s="141">
        <v>63</v>
      </c>
      <c r="K116" s="141">
        <v>58</v>
      </c>
      <c r="L116" s="203">
        <f>AVERAGE(220,306,288,375)</f>
        <v>297.25</v>
      </c>
      <c r="M116" s="204" t="s">
        <v>773</v>
      </c>
      <c r="N116" s="141" t="s">
        <v>16</v>
      </c>
      <c r="O116" s="142" t="s">
        <v>16</v>
      </c>
      <c r="P116" s="220" t="s">
        <v>16</v>
      </c>
      <c r="Q116" s="142" t="s">
        <v>16</v>
      </c>
      <c r="R116" s="186" t="s">
        <v>16</v>
      </c>
      <c r="S116" s="220">
        <v>600</v>
      </c>
      <c r="T116" s="160" t="s">
        <v>637</v>
      </c>
      <c r="U116" s="204" t="s">
        <v>446</v>
      </c>
    </row>
    <row r="117" spans="1:21" ht="12.6" customHeight="1">
      <c r="A117" s="205" t="s">
        <v>122</v>
      </c>
      <c r="B117" s="205" t="s">
        <v>596</v>
      </c>
      <c r="C117" s="172">
        <v>20</v>
      </c>
      <c r="D117" s="211">
        <v>4</v>
      </c>
      <c r="E117" s="172">
        <v>32</v>
      </c>
      <c r="F117" s="207" t="s">
        <v>120</v>
      </c>
      <c r="G117" s="195">
        <v>0.25</v>
      </c>
      <c r="H117" s="176">
        <v>0.15</v>
      </c>
      <c r="I117" s="172">
        <v>30</v>
      </c>
      <c r="J117" s="172">
        <v>63</v>
      </c>
      <c r="K117" s="172">
        <v>49</v>
      </c>
      <c r="L117" s="197">
        <f>AVERAGE(255,213,269,203,269,285,279,235,244,250)</f>
        <v>250.2</v>
      </c>
      <c r="M117" s="188" t="s">
        <v>881</v>
      </c>
      <c r="N117" s="197">
        <f>AVERAGE(350,361,325,347)</f>
        <v>345.75</v>
      </c>
      <c r="O117" s="172" t="s">
        <v>1001</v>
      </c>
      <c r="P117" s="197">
        <v>395</v>
      </c>
      <c r="Q117" s="172" t="s">
        <v>734</v>
      </c>
      <c r="R117" s="188" t="s">
        <v>446</v>
      </c>
      <c r="S117" s="197">
        <v>525</v>
      </c>
      <c r="T117" s="172" t="s">
        <v>734</v>
      </c>
      <c r="U117" s="188" t="s">
        <v>446</v>
      </c>
    </row>
    <row r="118" spans="1:21" ht="12.6" customHeight="1">
      <c r="A118" s="213" t="s">
        <v>122</v>
      </c>
      <c r="B118" s="213" t="s">
        <v>622</v>
      </c>
      <c r="C118" s="141">
        <v>28</v>
      </c>
      <c r="D118" s="142">
        <v>2</v>
      </c>
      <c r="E118" s="141">
        <v>32</v>
      </c>
      <c r="F118" s="202" t="s">
        <v>120</v>
      </c>
      <c r="G118" s="215">
        <v>0.25</v>
      </c>
      <c r="H118" s="216">
        <v>0.42299999999999999</v>
      </c>
      <c r="I118" s="141">
        <v>62.5</v>
      </c>
      <c r="J118" s="141">
        <v>69</v>
      </c>
      <c r="K118" s="186">
        <v>52</v>
      </c>
      <c r="L118" s="203">
        <f>AVERAGE(659,540,500,500)</f>
        <v>549.75</v>
      </c>
      <c r="M118" s="186" t="s">
        <v>881</v>
      </c>
      <c r="N118" s="141">
        <f>AVERAGE(999,770,771,822,832)</f>
        <v>838.8</v>
      </c>
      <c r="O118" s="142" t="s">
        <v>837</v>
      </c>
      <c r="P118" s="203">
        <v>429</v>
      </c>
      <c r="Q118" s="142" t="s">
        <v>734</v>
      </c>
      <c r="R118" s="186" t="s">
        <v>30</v>
      </c>
      <c r="S118" s="203" t="s">
        <v>16</v>
      </c>
      <c r="T118" s="142" t="s">
        <v>16</v>
      </c>
      <c r="U118" s="186" t="s">
        <v>16</v>
      </c>
    </row>
    <row r="119" spans="1:21" s="37" customFormat="1" ht="12.6" customHeight="1">
      <c r="A119" s="161" t="s">
        <v>122</v>
      </c>
      <c r="B119" s="161" t="s">
        <v>859</v>
      </c>
      <c r="C119" s="142">
        <v>28</v>
      </c>
      <c r="D119" s="142">
        <v>2</v>
      </c>
      <c r="E119" s="141">
        <v>32</v>
      </c>
      <c r="F119" s="215" t="s">
        <v>120</v>
      </c>
      <c r="G119" s="215">
        <v>0.3</v>
      </c>
      <c r="H119" s="142">
        <v>0.215</v>
      </c>
      <c r="I119" s="141">
        <v>42</v>
      </c>
      <c r="J119" s="141">
        <v>63</v>
      </c>
      <c r="K119" s="142">
        <v>49</v>
      </c>
      <c r="L119" s="203">
        <f>AVERAGE(318)</f>
        <v>318</v>
      </c>
      <c r="M119" s="204" t="s">
        <v>862</v>
      </c>
      <c r="N119" s="203">
        <f>AVERAGE(339,318,339,348,350)</f>
        <v>338.8</v>
      </c>
      <c r="O119" s="142" t="s">
        <v>863</v>
      </c>
      <c r="P119" s="220">
        <v>420</v>
      </c>
      <c r="Q119" s="142" t="s">
        <v>881</v>
      </c>
      <c r="R119" s="186" t="s">
        <v>30</v>
      </c>
      <c r="S119" s="220" t="s">
        <v>16</v>
      </c>
      <c r="T119" s="160" t="s">
        <v>16</v>
      </c>
      <c r="U119" s="204" t="s">
        <v>16</v>
      </c>
    </row>
    <row r="120" spans="1:21" s="37" customFormat="1" ht="12.6" customHeight="1">
      <c r="A120" s="161" t="s">
        <v>122</v>
      </c>
      <c r="B120" s="161" t="s">
        <v>1003</v>
      </c>
      <c r="C120" s="142">
        <v>28</v>
      </c>
      <c r="D120" s="142">
        <v>3.5</v>
      </c>
      <c r="E120" s="141">
        <v>44.8</v>
      </c>
      <c r="F120" s="215" t="s">
        <v>120</v>
      </c>
      <c r="G120" s="215">
        <v>0.3</v>
      </c>
      <c r="H120" s="142">
        <v>0.61099999999999999</v>
      </c>
      <c r="I120" s="141">
        <v>93</v>
      </c>
      <c r="J120" s="141">
        <v>80</v>
      </c>
      <c r="K120" s="142" t="s">
        <v>128</v>
      </c>
      <c r="L120" s="203">
        <f>AVERAGE(400,312,356,454,307,513,450,425,450,374)</f>
        <v>404.1</v>
      </c>
      <c r="M120" s="204" t="s">
        <v>1008</v>
      </c>
      <c r="N120" s="203">
        <f>AVERAGE(544,650,529,500,565,600)</f>
        <v>564.66666666666663</v>
      </c>
      <c r="O120" s="142" t="s">
        <v>881</v>
      </c>
      <c r="P120" s="220" t="s">
        <v>16</v>
      </c>
      <c r="Q120" s="142" t="s">
        <v>16</v>
      </c>
      <c r="R120" s="186" t="s">
        <v>16</v>
      </c>
      <c r="S120" s="220">
        <v>835</v>
      </c>
      <c r="T120" s="160" t="s">
        <v>1092</v>
      </c>
      <c r="U120" s="204" t="s">
        <v>32</v>
      </c>
    </row>
    <row r="121" spans="1:21" ht="12.6" customHeight="1">
      <c r="A121" s="213" t="s">
        <v>122</v>
      </c>
      <c r="B121" s="213" t="s">
        <v>781</v>
      </c>
      <c r="C121" s="141">
        <v>28</v>
      </c>
      <c r="D121" s="142">
        <v>3.5</v>
      </c>
      <c r="E121" s="141">
        <v>44.800000000000004</v>
      </c>
      <c r="F121" s="202" t="s">
        <v>120</v>
      </c>
      <c r="G121" s="215">
        <v>0.3</v>
      </c>
      <c r="H121" s="216">
        <v>0.26100000000000001</v>
      </c>
      <c r="I121" s="141">
        <v>47</v>
      </c>
      <c r="J121" s="141">
        <v>63</v>
      </c>
      <c r="K121" s="186">
        <v>52</v>
      </c>
      <c r="L121" s="203">
        <f>AVERAGE(114,120,129,125,125,120,128,129,125,120,110)</f>
        <v>122.27272727272727</v>
      </c>
      <c r="M121" s="186" t="s">
        <v>1092</v>
      </c>
      <c r="N121" s="141">
        <f>AVERAGE(170,140,160,140,149,141,140,155,155)</f>
        <v>150</v>
      </c>
      <c r="O121" s="142" t="s">
        <v>1092</v>
      </c>
      <c r="P121" s="203" t="s">
        <v>16</v>
      </c>
      <c r="Q121" s="142" t="s">
        <v>16</v>
      </c>
      <c r="R121" s="186" t="s">
        <v>16</v>
      </c>
      <c r="S121" s="203">
        <v>330</v>
      </c>
      <c r="T121" s="142" t="s">
        <v>821</v>
      </c>
      <c r="U121" s="186" t="s">
        <v>32</v>
      </c>
    </row>
    <row r="122" spans="1:21" s="37" customFormat="1" ht="12.6" customHeight="1">
      <c r="A122" s="161" t="s">
        <v>122</v>
      </c>
      <c r="B122" s="161" t="s">
        <v>1033</v>
      </c>
      <c r="C122" s="142">
        <v>30</v>
      </c>
      <c r="D122" s="142">
        <v>2.8</v>
      </c>
      <c r="E122" s="141">
        <v>44.800000000000004</v>
      </c>
      <c r="F122" s="215" t="s">
        <v>120</v>
      </c>
      <c r="G122" s="215">
        <v>0.3</v>
      </c>
      <c r="H122" s="142">
        <v>0.215</v>
      </c>
      <c r="I122" s="141">
        <v>63</v>
      </c>
      <c r="J122" s="141">
        <v>40</v>
      </c>
      <c r="K122" s="142">
        <v>52</v>
      </c>
      <c r="L122" s="203">
        <f>AVERAGE(250,210,245,234,222,250)</f>
        <v>235.16666666666666</v>
      </c>
      <c r="M122" s="204" t="s">
        <v>1092</v>
      </c>
      <c r="N122" s="203">
        <f>AVERAGE(289,284)</f>
        <v>286.5</v>
      </c>
      <c r="O122" s="142" t="s">
        <v>1008</v>
      </c>
      <c r="P122" s="220" t="s">
        <v>16</v>
      </c>
      <c r="Q122" s="142" t="s">
        <v>16</v>
      </c>
      <c r="R122" s="186" t="s">
        <v>16</v>
      </c>
      <c r="S122" s="220">
        <v>650</v>
      </c>
      <c r="T122" s="160" t="s">
        <v>1092</v>
      </c>
      <c r="U122" s="204" t="s">
        <v>446</v>
      </c>
    </row>
    <row r="123" spans="1:21" s="149" customFormat="1" ht="12.6" customHeight="1">
      <c r="A123" s="205" t="s">
        <v>122</v>
      </c>
      <c r="B123" s="205" t="s">
        <v>782</v>
      </c>
      <c r="C123" s="172">
        <v>35</v>
      </c>
      <c r="D123" s="211">
        <v>3.5</v>
      </c>
      <c r="E123" s="172">
        <v>56</v>
      </c>
      <c r="F123" s="207" t="s">
        <v>120</v>
      </c>
      <c r="G123" s="195">
        <v>0.35</v>
      </c>
      <c r="H123" s="176">
        <v>0.161</v>
      </c>
      <c r="I123" s="172">
        <v>63</v>
      </c>
      <c r="J123" s="172">
        <v>36</v>
      </c>
      <c r="K123" s="172">
        <v>52</v>
      </c>
      <c r="L123" s="197">
        <f>AVERAGE(129,115,129,135,125,129,132)</f>
        <v>127.71428571428571</v>
      </c>
      <c r="M123" s="188" t="s">
        <v>1008</v>
      </c>
      <c r="N123" s="197">
        <f>AVERAGE(169,150,163,150,168,160,140,135)</f>
        <v>154.375</v>
      </c>
      <c r="O123" s="188" t="s">
        <v>1092</v>
      </c>
      <c r="P123" s="172" t="s">
        <v>16</v>
      </c>
      <c r="Q123" s="172" t="s">
        <v>16</v>
      </c>
      <c r="R123" s="188" t="s">
        <v>16</v>
      </c>
      <c r="S123" s="197" t="s">
        <v>16</v>
      </c>
      <c r="T123" s="172" t="s">
        <v>16</v>
      </c>
      <c r="U123" s="188" t="s">
        <v>16</v>
      </c>
    </row>
    <row r="124" spans="1:21" s="161" customFormat="1" ht="12.6" customHeight="1">
      <c r="A124" s="213" t="s">
        <v>122</v>
      </c>
      <c r="B124" s="213" t="s">
        <v>199</v>
      </c>
      <c r="C124" s="142">
        <v>50</v>
      </c>
      <c r="D124" s="142">
        <v>1.2</v>
      </c>
      <c r="E124" s="141">
        <v>80</v>
      </c>
      <c r="F124" s="214" t="s">
        <v>120</v>
      </c>
      <c r="G124" s="215">
        <v>0.45</v>
      </c>
      <c r="H124" s="216">
        <v>0.38500000000000001</v>
      </c>
      <c r="I124" s="141">
        <v>49</v>
      </c>
      <c r="J124" s="141">
        <v>65</v>
      </c>
      <c r="K124" s="141">
        <v>52</v>
      </c>
      <c r="L124" s="203">
        <f>AVERAGE(259,260,283,269,311,324,300,350)</f>
        <v>294.5</v>
      </c>
      <c r="M124" s="160" t="s">
        <v>1008</v>
      </c>
      <c r="N124" s="203">
        <f>AVERAGE(340,345,387,420,429,425,405)</f>
        <v>393</v>
      </c>
      <c r="O124" s="160" t="s">
        <v>1092</v>
      </c>
      <c r="P124" s="203">
        <v>400</v>
      </c>
      <c r="Q124" s="160" t="s">
        <v>821</v>
      </c>
      <c r="R124" s="141" t="s">
        <v>30</v>
      </c>
      <c r="S124" s="203">
        <v>600</v>
      </c>
      <c r="T124" s="160" t="s">
        <v>692</v>
      </c>
      <c r="U124" s="186" t="s">
        <v>32</v>
      </c>
    </row>
    <row r="125" spans="1:21" s="161" customFormat="1" ht="12.6" customHeight="1">
      <c r="A125" s="213" t="s">
        <v>122</v>
      </c>
      <c r="B125" s="213" t="s">
        <v>200</v>
      </c>
      <c r="C125" s="142">
        <v>50</v>
      </c>
      <c r="D125" s="142">
        <v>1.2</v>
      </c>
      <c r="E125" s="141">
        <v>80</v>
      </c>
      <c r="F125" s="214" t="s">
        <v>123</v>
      </c>
      <c r="G125" s="215">
        <v>0.45</v>
      </c>
      <c r="H125" s="216">
        <v>0.34499999999999997</v>
      </c>
      <c r="I125" s="141">
        <v>49</v>
      </c>
      <c r="J125" s="141">
        <v>65</v>
      </c>
      <c r="K125" s="141">
        <v>52</v>
      </c>
      <c r="L125" s="203">
        <f>AVERAGE(310,439,390,405,400,425,480,500,495,487,450,406)</f>
        <v>432.25</v>
      </c>
      <c r="M125" s="160" t="s">
        <v>773</v>
      </c>
      <c r="N125" s="203">
        <f>AVERAGE(548,579,597,599,610,500,650,575,600,580)</f>
        <v>583.79999999999995</v>
      </c>
      <c r="O125" s="160" t="s">
        <v>1008</v>
      </c>
      <c r="P125" s="203">
        <f>699*CA.US</f>
        <v>531.24</v>
      </c>
      <c r="Q125" s="160" t="s">
        <v>862</v>
      </c>
      <c r="R125" s="141" t="s">
        <v>623</v>
      </c>
      <c r="S125" s="203" t="s">
        <v>16</v>
      </c>
      <c r="T125" s="160" t="s">
        <v>16</v>
      </c>
      <c r="U125" s="186" t="s">
        <v>16</v>
      </c>
    </row>
    <row r="126" spans="1:21" s="161" customFormat="1" ht="12.6" customHeight="1">
      <c r="A126" s="213" t="s">
        <v>122</v>
      </c>
      <c r="B126" s="213" t="s">
        <v>201</v>
      </c>
      <c r="C126" s="142">
        <v>50</v>
      </c>
      <c r="D126" s="142">
        <v>1.4</v>
      </c>
      <c r="E126" s="141">
        <v>80</v>
      </c>
      <c r="F126" s="214" t="s">
        <v>123</v>
      </c>
      <c r="G126" s="215">
        <v>0.45</v>
      </c>
      <c r="H126" s="216">
        <v>0.26500000000000001</v>
      </c>
      <c r="I126" s="141">
        <v>37</v>
      </c>
      <c r="J126" s="141">
        <v>63</v>
      </c>
      <c r="K126" s="141">
        <v>49</v>
      </c>
      <c r="L126" s="203">
        <f>AVERAGE(120,119,101,110,115,103,133,120,123,107)</f>
        <v>115.1</v>
      </c>
      <c r="M126" s="160" t="s">
        <v>1008</v>
      </c>
      <c r="N126" s="203">
        <f>AVERAGE(148,179,176,185,148,140,156,140,155,153)</f>
        <v>158</v>
      </c>
      <c r="O126" s="160" t="s">
        <v>1008</v>
      </c>
      <c r="P126" s="203">
        <v>160</v>
      </c>
      <c r="Q126" s="160" t="s">
        <v>734</v>
      </c>
      <c r="R126" s="141" t="s">
        <v>30</v>
      </c>
      <c r="S126" s="203">
        <v>100</v>
      </c>
      <c r="T126" s="160" t="s">
        <v>1092</v>
      </c>
      <c r="U126" s="186" t="s">
        <v>28</v>
      </c>
    </row>
    <row r="127" spans="1:21" s="161" customFormat="1" ht="12.6" customHeight="1">
      <c r="A127" s="213" t="s">
        <v>122</v>
      </c>
      <c r="B127" s="213" t="s">
        <v>557</v>
      </c>
      <c r="C127" s="142">
        <v>50</v>
      </c>
      <c r="D127" s="142">
        <v>2.8</v>
      </c>
      <c r="E127" s="141">
        <v>80</v>
      </c>
      <c r="F127" s="214" t="s">
        <v>123</v>
      </c>
      <c r="G127" s="215">
        <v>0.24</v>
      </c>
      <c r="H127" s="216">
        <v>0.22</v>
      </c>
      <c r="I127" s="141">
        <v>50</v>
      </c>
      <c r="J127" s="141">
        <v>63</v>
      </c>
      <c r="K127" s="141">
        <v>49</v>
      </c>
      <c r="L127" s="203">
        <f>AVERAGE(119,100,155,154,140,125,158,125,150,159,175,149)</f>
        <v>142.41666666666666</v>
      </c>
      <c r="M127" s="160" t="s">
        <v>1092</v>
      </c>
      <c r="N127" s="203">
        <f>AVERAGE(280,169,,195,199,230,209,210,224)</f>
        <v>190.66666666666666</v>
      </c>
      <c r="O127" s="160" t="s">
        <v>1001</v>
      </c>
      <c r="P127" s="203">
        <v>248</v>
      </c>
      <c r="Q127" s="160" t="s">
        <v>821</v>
      </c>
      <c r="R127" s="141" t="s">
        <v>30</v>
      </c>
      <c r="S127" s="203">
        <v>290</v>
      </c>
      <c r="T127" s="160" t="s">
        <v>813</v>
      </c>
      <c r="U127" s="186" t="s">
        <v>32</v>
      </c>
    </row>
    <row r="128" spans="1:21" ht="12.6" customHeight="1">
      <c r="A128" s="205" t="s">
        <v>122</v>
      </c>
      <c r="B128" s="205" t="s">
        <v>824</v>
      </c>
      <c r="C128" s="172">
        <v>50</v>
      </c>
      <c r="D128" s="211">
        <v>2.8</v>
      </c>
      <c r="E128" s="172">
        <v>80</v>
      </c>
      <c r="F128" s="207" t="s">
        <v>748</v>
      </c>
      <c r="G128" s="195">
        <v>0.19</v>
      </c>
      <c r="H128" s="176">
        <v>0.38500000000000001</v>
      </c>
      <c r="I128" s="172">
        <v>70</v>
      </c>
      <c r="J128" s="172">
        <v>68</v>
      </c>
      <c r="K128" s="172">
        <v>52</v>
      </c>
      <c r="L128" s="197">
        <f>AVERAGE(200,198,196,192,164,159,179,219,163,215,219)</f>
        <v>191.27272727272728</v>
      </c>
      <c r="M128" s="188" t="s">
        <v>1092</v>
      </c>
      <c r="N128" s="197">
        <f>AVERAGE(299,387,256,255)</f>
        <v>299.25</v>
      </c>
      <c r="O128" s="188" t="s">
        <v>1092</v>
      </c>
      <c r="P128" s="197" t="s">
        <v>16</v>
      </c>
      <c r="Q128" s="172" t="s">
        <v>16</v>
      </c>
      <c r="R128" s="188" t="s">
        <v>16</v>
      </c>
      <c r="S128" s="197" t="s">
        <v>16</v>
      </c>
      <c r="T128" s="172" t="s">
        <v>16</v>
      </c>
      <c r="U128" s="188" t="s">
        <v>16</v>
      </c>
    </row>
    <row r="129" spans="1:21" s="37" customFormat="1" ht="12.6" customHeight="1">
      <c r="A129" s="213" t="s">
        <v>122</v>
      </c>
      <c r="B129" s="213" t="s">
        <v>478</v>
      </c>
      <c r="C129" s="142">
        <v>85</v>
      </c>
      <c r="D129" s="142">
        <v>1.4</v>
      </c>
      <c r="E129" s="141">
        <v>136</v>
      </c>
      <c r="F129" s="214" t="s">
        <v>123</v>
      </c>
      <c r="G129" s="215">
        <v>0.85</v>
      </c>
      <c r="H129" s="216">
        <v>0.55500000000000005</v>
      </c>
      <c r="I129" s="141">
        <v>66</v>
      </c>
      <c r="J129" s="141">
        <v>74</v>
      </c>
      <c r="K129" s="142">
        <v>67</v>
      </c>
      <c r="L129" s="203">
        <f>AVERAGE(930,895,1150,1150,835,855,900,1139,1150,1140,1001)</f>
        <v>1013.1818181818181</v>
      </c>
      <c r="M129" s="160" t="s">
        <v>852</v>
      </c>
      <c r="N129" s="203">
        <f>AVERAGE(1000,1219,1180,1089,1225,1300,1235,1098,1200,1200,1149)</f>
        <v>1172.2727272727273</v>
      </c>
      <c r="O129" s="142" t="s">
        <v>1001</v>
      </c>
      <c r="P129" s="203">
        <v>1170</v>
      </c>
      <c r="Q129" s="160" t="s">
        <v>637</v>
      </c>
      <c r="R129" s="141" t="s">
        <v>33</v>
      </c>
      <c r="S129" s="203" t="s">
        <v>16</v>
      </c>
      <c r="T129" s="160" t="s">
        <v>16</v>
      </c>
      <c r="U129" s="186" t="s">
        <v>16</v>
      </c>
    </row>
    <row r="130" spans="1:21" ht="12.6" customHeight="1">
      <c r="A130" s="213" t="s">
        <v>122</v>
      </c>
      <c r="B130" s="213" t="s">
        <v>202</v>
      </c>
      <c r="C130" s="141">
        <v>85</v>
      </c>
      <c r="D130" s="142">
        <v>1.8</v>
      </c>
      <c r="E130" s="141">
        <v>136</v>
      </c>
      <c r="F130" s="202" t="s">
        <v>120</v>
      </c>
      <c r="G130" s="215">
        <v>0.85</v>
      </c>
      <c r="H130" s="216">
        <v>0.33100000000000002</v>
      </c>
      <c r="I130" s="141">
        <v>56</v>
      </c>
      <c r="J130" s="141">
        <v>64</v>
      </c>
      <c r="K130" s="186">
        <v>52</v>
      </c>
      <c r="L130" s="203">
        <f>AVERAGE(250,368,306,315,379,356,335,417,419,406,340)</f>
        <v>353.72727272727275</v>
      </c>
      <c r="M130" s="186" t="s">
        <v>1092</v>
      </c>
      <c r="N130" s="141">
        <f>AVERAGE(390,439,399,400,578,490,405,489,424,420,455,512)</f>
        <v>450.08333333333331</v>
      </c>
      <c r="O130" s="142" t="s">
        <v>1008</v>
      </c>
      <c r="P130" s="203">
        <f>295*CA.US</f>
        <v>224.2</v>
      </c>
      <c r="Q130" s="142" t="s">
        <v>1092</v>
      </c>
      <c r="R130" s="186" t="s">
        <v>35</v>
      </c>
      <c r="S130" s="203">
        <v>850</v>
      </c>
      <c r="T130" s="142" t="s">
        <v>637</v>
      </c>
      <c r="U130" s="186" t="s">
        <v>446</v>
      </c>
    </row>
    <row r="131" spans="1:21" ht="12.6" customHeight="1">
      <c r="A131" s="205" t="s">
        <v>122</v>
      </c>
      <c r="B131" s="205" t="s">
        <v>399</v>
      </c>
      <c r="C131" s="172">
        <v>85</v>
      </c>
      <c r="D131" s="211">
        <v>2.2000000000000002</v>
      </c>
      <c r="E131" s="172">
        <v>136</v>
      </c>
      <c r="F131" s="207" t="s">
        <v>120</v>
      </c>
      <c r="G131" s="195">
        <v>0.56999999999999995</v>
      </c>
      <c r="H131" s="176">
        <v>0.23499999999999999</v>
      </c>
      <c r="I131" s="172">
        <v>72</v>
      </c>
      <c r="J131" s="172">
        <v>52</v>
      </c>
      <c r="K131" s="172">
        <v>49</v>
      </c>
      <c r="L131" s="197">
        <f>AVERAGE(210,167,195,167,190,278,239)</f>
        <v>206.57142857142858</v>
      </c>
      <c r="M131" s="188" t="s">
        <v>1092</v>
      </c>
      <c r="N131" s="197">
        <f>AVERAGE(260,338,310,345,300)</f>
        <v>310.60000000000002</v>
      </c>
      <c r="O131" s="188" t="s">
        <v>881</v>
      </c>
      <c r="P131" s="172">
        <v>280</v>
      </c>
      <c r="Q131" s="172" t="s">
        <v>881</v>
      </c>
      <c r="R131" s="188" t="s">
        <v>30</v>
      </c>
      <c r="S131" s="197">
        <v>313</v>
      </c>
      <c r="T131" s="172" t="s">
        <v>881</v>
      </c>
      <c r="U131" s="188" t="s">
        <v>30</v>
      </c>
    </row>
    <row r="132" spans="1:21" s="37" customFormat="1" ht="12.6" customHeight="1">
      <c r="A132" s="213" t="s">
        <v>122</v>
      </c>
      <c r="B132" s="213" t="s">
        <v>849</v>
      </c>
      <c r="C132" s="142">
        <v>100</v>
      </c>
      <c r="D132" s="142">
        <v>2.8</v>
      </c>
      <c r="E132" s="141">
        <v>160</v>
      </c>
      <c r="F132" s="214" t="s">
        <v>123</v>
      </c>
      <c r="G132" s="215">
        <v>0.31</v>
      </c>
      <c r="H132" s="216">
        <v>0.47</v>
      </c>
      <c r="I132" s="141">
        <v>93</v>
      </c>
      <c r="J132" s="141">
        <v>74</v>
      </c>
      <c r="K132" s="141">
        <v>58</v>
      </c>
      <c r="L132" s="203">
        <f>AVERAGE(465,500,312,528,489,689,450,660,566)</f>
        <v>517.66666666666663</v>
      </c>
      <c r="M132" s="160" t="s">
        <v>852</v>
      </c>
      <c r="N132" s="203">
        <f>AVERAGE(730,852,695,711,760)</f>
        <v>749.6</v>
      </c>
      <c r="O132" s="160" t="s">
        <v>852</v>
      </c>
      <c r="P132" s="203">
        <f>400*CA.US</f>
        <v>304</v>
      </c>
      <c r="Q132" s="160" t="s">
        <v>835</v>
      </c>
      <c r="R132" s="141" t="s">
        <v>623</v>
      </c>
      <c r="S132" s="203">
        <v>475</v>
      </c>
      <c r="T132" s="160" t="s">
        <v>807</v>
      </c>
      <c r="U132" s="186" t="s">
        <v>28</v>
      </c>
    </row>
    <row r="133" spans="1:21" s="161" customFormat="1" ht="12.6" customHeight="1">
      <c r="A133" s="213" t="s">
        <v>122</v>
      </c>
      <c r="B133" s="213" t="s">
        <v>783</v>
      </c>
      <c r="C133" s="142">
        <v>100</v>
      </c>
      <c r="D133" s="142">
        <v>4</v>
      </c>
      <c r="E133" s="141">
        <v>160</v>
      </c>
      <c r="F133" s="214" t="s">
        <v>120</v>
      </c>
      <c r="G133" s="215">
        <v>0.45</v>
      </c>
      <c r="H133" s="216">
        <v>0.36</v>
      </c>
      <c r="I133" s="141">
        <v>78</v>
      </c>
      <c r="J133" s="141">
        <v>65</v>
      </c>
      <c r="K133" s="141">
        <v>49</v>
      </c>
      <c r="L133" s="203">
        <f>AVERAGE(120,129,110,101,126,130,117,134,126)</f>
        <v>121.44444444444444</v>
      </c>
      <c r="M133" s="160" t="s">
        <v>881</v>
      </c>
      <c r="N133" s="203">
        <f>AVERAGE(173,155,189,179,195,130,225,128,195)</f>
        <v>174.33333333333334</v>
      </c>
      <c r="O133" s="160" t="s">
        <v>1092</v>
      </c>
      <c r="P133" s="203">
        <v>200</v>
      </c>
      <c r="Q133" s="160" t="s">
        <v>881</v>
      </c>
      <c r="R133" s="141" t="s">
        <v>32</v>
      </c>
      <c r="S133" s="203" t="s">
        <v>16</v>
      </c>
      <c r="T133" s="160" t="s">
        <v>16</v>
      </c>
      <c r="U133" s="186" t="s">
        <v>16</v>
      </c>
    </row>
    <row r="134" spans="1:21" s="161" customFormat="1" ht="12.6" customHeight="1">
      <c r="A134" s="213" t="s">
        <v>122</v>
      </c>
      <c r="B134" s="213" t="s">
        <v>479</v>
      </c>
      <c r="C134" s="142">
        <v>135</v>
      </c>
      <c r="D134" s="142">
        <v>1.8</v>
      </c>
      <c r="E134" s="141">
        <v>216</v>
      </c>
      <c r="F134" s="214" t="s">
        <v>123</v>
      </c>
      <c r="G134" s="215">
        <v>1.2</v>
      </c>
      <c r="H134" s="216">
        <v>0.86499999999999999</v>
      </c>
      <c r="I134" s="141">
        <v>98</v>
      </c>
      <c r="J134" s="141">
        <v>80</v>
      </c>
      <c r="K134" s="141">
        <v>77</v>
      </c>
      <c r="L134" s="203">
        <f>AVERAGE(1677,1999,1998,1998,1998,2222)</f>
        <v>1982</v>
      </c>
      <c r="M134" s="160" t="s">
        <v>1092</v>
      </c>
      <c r="N134" s="203">
        <f>AVERAGE(2598,2999,2950,2260)</f>
        <v>2701.75</v>
      </c>
      <c r="O134" s="160" t="s">
        <v>1001</v>
      </c>
      <c r="P134" s="203">
        <v>2570</v>
      </c>
      <c r="Q134" s="160" t="s">
        <v>693</v>
      </c>
      <c r="R134" s="141" t="s">
        <v>30</v>
      </c>
      <c r="S134" s="203" t="s">
        <v>16</v>
      </c>
      <c r="T134" s="160" t="s">
        <v>16</v>
      </c>
      <c r="U134" s="186" t="s">
        <v>16</v>
      </c>
    </row>
    <row r="135" spans="1:21" s="161" customFormat="1" ht="12.6" customHeight="1">
      <c r="A135" s="213" t="s">
        <v>122</v>
      </c>
      <c r="B135" s="213" t="s">
        <v>203</v>
      </c>
      <c r="C135" s="142">
        <v>135</v>
      </c>
      <c r="D135" s="142">
        <v>2.5</v>
      </c>
      <c r="E135" s="141">
        <v>216</v>
      </c>
      <c r="F135" s="214" t="s">
        <v>120</v>
      </c>
      <c r="G135" s="215">
        <v>1.5</v>
      </c>
      <c r="H135" s="216">
        <v>0.5</v>
      </c>
      <c r="I135" s="141">
        <v>86</v>
      </c>
      <c r="J135" s="141">
        <v>68</v>
      </c>
      <c r="K135" s="141">
        <v>58</v>
      </c>
      <c r="L135" s="203">
        <f>AVERAGE(174,189,164,195,174,156,160,148,235,165)</f>
        <v>176</v>
      </c>
      <c r="M135" s="160" t="s">
        <v>1092</v>
      </c>
      <c r="N135" s="203">
        <f>AVERAGE(184,189,255,295,241,305,325,310)</f>
        <v>263</v>
      </c>
      <c r="O135" s="160" t="s">
        <v>863</v>
      </c>
      <c r="P135" s="203">
        <f>129*CA.US</f>
        <v>98.04</v>
      </c>
      <c r="Q135" s="160" t="s">
        <v>821</v>
      </c>
      <c r="R135" s="141" t="s">
        <v>623</v>
      </c>
      <c r="S135" s="203">
        <v>130</v>
      </c>
      <c r="T135" s="160" t="s">
        <v>821</v>
      </c>
      <c r="U135" s="186" t="s">
        <v>32</v>
      </c>
    </row>
    <row r="136" spans="1:21" ht="12.6" customHeight="1">
      <c r="A136" s="205" t="s">
        <v>122</v>
      </c>
      <c r="B136" s="205" t="s">
        <v>204</v>
      </c>
      <c r="C136" s="172">
        <v>135</v>
      </c>
      <c r="D136" s="211">
        <v>3.5</v>
      </c>
      <c r="E136" s="172">
        <v>216</v>
      </c>
      <c r="F136" s="207" t="s">
        <v>120</v>
      </c>
      <c r="G136" s="195">
        <v>1.5</v>
      </c>
      <c r="H136" s="176">
        <v>0.27</v>
      </c>
      <c r="I136" s="172">
        <v>66</v>
      </c>
      <c r="J136" s="172">
        <v>63</v>
      </c>
      <c r="K136" s="172">
        <v>49</v>
      </c>
      <c r="L136" s="197">
        <f>AVERAGE(47,47,63,55,46,50)</f>
        <v>51.333333333333336</v>
      </c>
      <c r="M136" s="188" t="s">
        <v>550</v>
      </c>
      <c r="N136" s="197">
        <f>AVERAGE(139,109,125)</f>
        <v>124.33333333333333</v>
      </c>
      <c r="O136" s="172" t="s">
        <v>881</v>
      </c>
      <c r="P136" s="197">
        <v>80</v>
      </c>
      <c r="Q136" s="172" t="s">
        <v>881</v>
      </c>
      <c r="R136" s="188" t="s">
        <v>32</v>
      </c>
      <c r="S136" s="197" t="s">
        <v>16</v>
      </c>
      <c r="T136" s="172" t="s">
        <v>16</v>
      </c>
      <c r="U136" s="188" t="s">
        <v>16</v>
      </c>
    </row>
    <row r="137" spans="1:21" s="37" customFormat="1" ht="12.6" customHeight="1">
      <c r="A137" s="213" t="s">
        <v>122</v>
      </c>
      <c r="B137" s="213" t="s">
        <v>205</v>
      </c>
      <c r="C137" s="142">
        <v>200</v>
      </c>
      <c r="D137" s="142">
        <v>2.5</v>
      </c>
      <c r="E137" s="141">
        <v>320</v>
      </c>
      <c r="F137" s="214" t="s">
        <v>120</v>
      </c>
      <c r="G137" s="215">
        <v>2</v>
      </c>
      <c r="H137" s="216">
        <v>0.95</v>
      </c>
      <c r="I137" s="141">
        <v>145</v>
      </c>
      <c r="J137" s="141">
        <v>89</v>
      </c>
      <c r="K137" s="141">
        <v>77</v>
      </c>
      <c r="L137" s="203">
        <f>AVERAGE(223,289,409,300,350,256,350,489,325)</f>
        <v>332.33333333333331</v>
      </c>
      <c r="M137" s="160" t="s">
        <v>1092</v>
      </c>
      <c r="N137" s="203">
        <f>AVERAGE(459,663,500,499)</f>
        <v>530.25</v>
      </c>
      <c r="O137" s="160" t="s">
        <v>881</v>
      </c>
      <c r="P137" s="217">
        <v>450</v>
      </c>
      <c r="Q137" s="261" t="s">
        <v>821</v>
      </c>
      <c r="R137" s="218" t="s">
        <v>32</v>
      </c>
      <c r="S137" s="203">
        <v>795</v>
      </c>
      <c r="T137" s="160" t="s">
        <v>550</v>
      </c>
      <c r="U137" s="186" t="s">
        <v>446</v>
      </c>
    </row>
    <row r="138" spans="1:21" s="37" customFormat="1" ht="12.6" customHeight="1">
      <c r="A138" s="213" t="s">
        <v>122</v>
      </c>
      <c r="B138" s="213" t="s">
        <v>206</v>
      </c>
      <c r="C138" s="142">
        <v>200</v>
      </c>
      <c r="D138" s="142">
        <v>2.8</v>
      </c>
      <c r="E138" s="141">
        <v>320</v>
      </c>
      <c r="F138" s="214" t="s">
        <v>123</v>
      </c>
      <c r="G138" s="215">
        <v>1.8</v>
      </c>
      <c r="H138" s="216">
        <v>0.85</v>
      </c>
      <c r="I138" s="141">
        <v>138</v>
      </c>
      <c r="J138" s="141">
        <v>91</v>
      </c>
      <c r="K138" s="141">
        <v>77</v>
      </c>
      <c r="L138" s="203">
        <f>AVERAGE(589,590,608,635,638,740,638,750,768)</f>
        <v>661.77777777777783</v>
      </c>
      <c r="M138" s="280" t="s">
        <v>862</v>
      </c>
      <c r="N138" s="203">
        <f>AVERAGE(989,950,750,813)</f>
        <v>875.5</v>
      </c>
      <c r="O138" s="160" t="s">
        <v>755</v>
      </c>
      <c r="P138" s="203" t="s">
        <v>16</v>
      </c>
      <c r="Q138" s="160" t="s">
        <v>16</v>
      </c>
      <c r="R138" s="186" t="s">
        <v>16</v>
      </c>
      <c r="S138" s="203" t="s">
        <v>16</v>
      </c>
      <c r="T138" s="160" t="s">
        <v>16</v>
      </c>
      <c r="U138" s="186" t="s">
        <v>16</v>
      </c>
    </row>
    <row r="139" spans="1:21" s="37" customFormat="1" ht="12.6" customHeight="1">
      <c r="A139" s="213" t="s">
        <v>122</v>
      </c>
      <c r="B139" s="213" t="s">
        <v>207</v>
      </c>
      <c r="C139" s="142">
        <v>200</v>
      </c>
      <c r="D139" s="142">
        <v>4</v>
      </c>
      <c r="E139" s="141">
        <v>320</v>
      </c>
      <c r="F139" s="214" t="s">
        <v>123</v>
      </c>
      <c r="G139" s="215">
        <v>0.55000000000000004</v>
      </c>
      <c r="H139" s="216">
        <v>0.89500000000000002</v>
      </c>
      <c r="I139" s="141">
        <v>145</v>
      </c>
      <c r="J139" s="141">
        <v>71</v>
      </c>
      <c r="K139" s="142">
        <v>58</v>
      </c>
      <c r="L139" s="203">
        <f>AVERAGE(2049,2000,2198,2299,2200,1899,2299,2050)</f>
        <v>2124.25</v>
      </c>
      <c r="M139" s="160" t="s">
        <v>881</v>
      </c>
      <c r="N139" s="203">
        <f>AVERAGE(2000,2299,2299,2388,2500,2564,2913,2659,2299,2295,2225,2400)</f>
        <v>2403.4166666666665</v>
      </c>
      <c r="O139" s="142" t="s">
        <v>881</v>
      </c>
      <c r="P139" s="203" t="s">
        <v>16</v>
      </c>
      <c r="Q139" s="160" t="s">
        <v>16</v>
      </c>
      <c r="R139" s="141" t="s">
        <v>16</v>
      </c>
      <c r="S139" s="203" t="s">
        <v>16</v>
      </c>
      <c r="T139" s="160" t="s">
        <v>16</v>
      </c>
      <c r="U139" s="186" t="s">
        <v>16</v>
      </c>
    </row>
    <row r="140" spans="1:21" s="37" customFormat="1" ht="12.6" customHeight="1">
      <c r="A140" s="213" t="s">
        <v>122</v>
      </c>
      <c r="B140" s="213" t="s">
        <v>208</v>
      </c>
      <c r="C140" s="142">
        <v>300</v>
      </c>
      <c r="D140" s="142">
        <v>2.8</v>
      </c>
      <c r="E140" s="141">
        <v>480</v>
      </c>
      <c r="F140" s="214" t="s">
        <v>123</v>
      </c>
      <c r="G140" s="215">
        <v>3</v>
      </c>
      <c r="H140" s="216">
        <v>2.97</v>
      </c>
      <c r="I140" s="141">
        <v>236</v>
      </c>
      <c r="J140" s="141">
        <v>133</v>
      </c>
      <c r="K140" s="141">
        <v>49</v>
      </c>
      <c r="L140" s="203">
        <f>AVERAGE(993,1599)</f>
        <v>1296</v>
      </c>
      <c r="M140" s="280" t="s">
        <v>1001</v>
      </c>
      <c r="N140" s="203">
        <f>AVERAGE(1804,1900,2200,500,2699,1925,2101)</f>
        <v>1875.5714285714287</v>
      </c>
      <c r="O140" s="160" t="s">
        <v>1001</v>
      </c>
      <c r="P140" s="203">
        <v>1900</v>
      </c>
      <c r="Q140" s="160" t="s">
        <v>425</v>
      </c>
      <c r="R140" s="186" t="s">
        <v>33</v>
      </c>
      <c r="S140" s="203" t="s">
        <v>16</v>
      </c>
      <c r="T140" s="160" t="s">
        <v>16</v>
      </c>
      <c r="U140" s="186" t="s">
        <v>16</v>
      </c>
    </row>
    <row r="141" spans="1:21" ht="12.6" customHeight="1">
      <c r="A141" s="205" t="s">
        <v>122</v>
      </c>
      <c r="B141" s="205" t="s">
        <v>784</v>
      </c>
      <c r="C141" s="172">
        <v>300</v>
      </c>
      <c r="D141" s="211">
        <v>4</v>
      </c>
      <c r="E141" s="172">
        <v>480</v>
      </c>
      <c r="F141" s="207" t="s">
        <v>123</v>
      </c>
      <c r="G141" s="195">
        <v>4</v>
      </c>
      <c r="H141" s="176">
        <v>0.85</v>
      </c>
      <c r="I141" s="172">
        <v>132</v>
      </c>
      <c r="J141" s="172">
        <v>84</v>
      </c>
      <c r="K141" s="172">
        <v>77</v>
      </c>
      <c r="L141" s="197">
        <f>AVERAGE(375,395,444,485,445,397,479,457,371)</f>
        <v>427.55555555555554</v>
      </c>
      <c r="M141" s="188" t="s">
        <v>1092</v>
      </c>
      <c r="N141" s="197">
        <f>AVERAGE(650,500,668,578,699,620,590)</f>
        <v>615</v>
      </c>
      <c r="O141" s="172" t="s">
        <v>1092</v>
      </c>
      <c r="P141" s="197">
        <v>572</v>
      </c>
      <c r="Q141" s="172" t="s">
        <v>765</v>
      </c>
      <c r="R141" s="188" t="s">
        <v>30</v>
      </c>
      <c r="S141" s="197" t="s">
        <v>16</v>
      </c>
      <c r="T141" s="172" t="s">
        <v>16</v>
      </c>
      <c r="U141" s="188" t="s">
        <v>16</v>
      </c>
    </row>
    <row r="142" spans="1:21" s="37" customFormat="1" ht="12.6" customHeight="1">
      <c r="A142" s="213" t="s">
        <v>122</v>
      </c>
      <c r="B142" s="213" t="s">
        <v>209</v>
      </c>
      <c r="C142" s="142">
        <v>400</v>
      </c>
      <c r="D142" s="142">
        <v>2.8</v>
      </c>
      <c r="E142" s="141">
        <v>640</v>
      </c>
      <c r="F142" s="214" t="s">
        <v>123</v>
      </c>
      <c r="G142" s="215">
        <v>4.5</v>
      </c>
      <c r="H142" s="216">
        <v>6</v>
      </c>
      <c r="I142" s="141">
        <v>325</v>
      </c>
      <c r="J142" s="141">
        <v>165</v>
      </c>
      <c r="K142" s="141">
        <v>49</v>
      </c>
      <c r="L142" s="203">
        <f>AVERAGE(2377,2225)</f>
        <v>2301</v>
      </c>
      <c r="M142" s="160" t="s">
        <v>863</v>
      </c>
      <c r="N142" s="203" t="s">
        <v>16</v>
      </c>
      <c r="O142" s="160" t="s">
        <v>16</v>
      </c>
      <c r="P142" s="217">
        <v>2900</v>
      </c>
      <c r="Q142" s="261" t="s">
        <v>821</v>
      </c>
      <c r="R142" s="218" t="s">
        <v>30</v>
      </c>
      <c r="S142" s="203">
        <v>3900</v>
      </c>
      <c r="T142" s="160" t="s">
        <v>374</v>
      </c>
      <c r="U142" s="186" t="s">
        <v>32</v>
      </c>
    </row>
    <row r="143" spans="1:21" s="161" customFormat="1" ht="12.6" customHeight="1">
      <c r="A143" s="213" t="s">
        <v>122</v>
      </c>
      <c r="B143" s="213" t="s">
        <v>625</v>
      </c>
      <c r="C143" s="142">
        <v>400</v>
      </c>
      <c r="D143" s="142">
        <v>5.6</v>
      </c>
      <c r="E143" s="141">
        <v>520</v>
      </c>
      <c r="F143" s="214" t="s">
        <v>120</v>
      </c>
      <c r="G143" s="215">
        <v>5</v>
      </c>
      <c r="H143" s="216">
        <v>1.22</v>
      </c>
      <c r="I143" s="141">
        <v>277</v>
      </c>
      <c r="J143" s="141">
        <v>85</v>
      </c>
      <c r="K143" s="141">
        <v>77</v>
      </c>
      <c r="L143" s="203">
        <f>AVERAGE(298,339,245,250,335,300,230,248,367,384)</f>
        <v>299.60000000000002</v>
      </c>
      <c r="M143" s="160" t="s">
        <v>1092</v>
      </c>
      <c r="N143" s="203">
        <f>AVERAGE(518,399)</f>
        <v>458.5</v>
      </c>
      <c r="O143" s="160" t="s">
        <v>1001</v>
      </c>
      <c r="P143" s="203">
        <f>499*CA.US</f>
        <v>379.24</v>
      </c>
      <c r="Q143" s="160" t="s">
        <v>852</v>
      </c>
      <c r="R143" s="141" t="s">
        <v>623</v>
      </c>
      <c r="S143" s="203">
        <v>600</v>
      </c>
      <c r="T143" s="160" t="s">
        <v>692</v>
      </c>
      <c r="U143" s="186" t="s">
        <v>33</v>
      </c>
    </row>
    <row r="144" spans="1:21" s="37" customFormat="1" ht="12.6" customHeight="1">
      <c r="A144" s="213" t="s">
        <v>122</v>
      </c>
      <c r="B144" s="213" t="s">
        <v>124</v>
      </c>
      <c r="C144" s="142">
        <v>500</v>
      </c>
      <c r="D144" s="142">
        <v>4.5</v>
      </c>
      <c r="E144" s="141">
        <v>800</v>
      </c>
      <c r="F144" s="214" t="s">
        <v>120</v>
      </c>
      <c r="G144" s="215">
        <v>10</v>
      </c>
      <c r="H144" s="216">
        <v>3.37</v>
      </c>
      <c r="I144" s="141">
        <v>440</v>
      </c>
      <c r="J144" s="141">
        <v>127</v>
      </c>
      <c r="K144" s="141">
        <v>52</v>
      </c>
      <c r="L144" s="203">
        <f>AVERAGE(368,626,450,525,405,546,500,533,596,600)</f>
        <v>514.9</v>
      </c>
      <c r="M144" s="280" t="s">
        <v>1092</v>
      </c>
      <c r="N144" s="203">
        <f>AVERAGE(800)</f>
        <v>800</v>
      </c>
      <c r="O144" s="280" t="s">
        <v>821</v>
      </c>
      <c r="P144" s="141">
        <v>415</v>
      </c>
      <c r="Q144" s="160" t="s">
        <v>692</v>
      </c>
      <c r="R144" s="141" t="s">
        <v>30</v>
      </c>
      <c r="S144" s="203">
        <v>800</v>
      </c>
      <c r="T144" s="160" t="s">
        <v>1092</v>
      </c>
      <c r="U144" s="186" t="s">
        <v>32</v>
      </c>
    </row>
    <row r="145" spans="1:21" s="37" customFormat="1" ht="12.6" customHeight="1">
      <c r="A145" s="213" t="s">
        <v>122</v>
      </c>
      <c r="B145" s="213" t="s">
        <v>797</v>
      </c>
      <c r="C145" s="142">
        <v>600</v>
      </c>
      <c r="D145" s="142">
        <v>4</v>
      </c>
      <c r="E145" s="141">
        <f>C145*1.6</f>
        <v>960</v>
      </c>
      <c r="F145" s="214" t="s">
        <v>748</v>
      </c>
      <c r="G145" s="215">
        <v>5</v>
      </c>
      <c r="H145" s="216">
        <v>6.8</v>
      </c>
      <c r="I145" s="141">
        <v>457</v>
      </c>
      <c r="J145" s="141">
        <v>176</v>
      </c>
      <c r="K145" s="297" t="s">
        <v>798</v>
      </c>
      <c r="L145" s="203">
        <f>AVERAGE(4261,5170)</f>
        <v>4715.5</v>
      </c>
      <c r="M145" s="160" t="s">
        <v>881</v>
      </c>
      <c r="N145" s="203">
        <f>AVERAGE(6500,8800)</f>
        <v>7650</v>
      </c>
      <c r="O145" s="160" t="s">
        <v>835</v>
      </c>
      <c r="P145" s="141" t="s">
        <v>16</v>
      </c>
      <c r="Q145" s="160" t="s">
        <v>16</v>
      </c>
      <c r="R145" s="141" t="s">
        <v>16</v>
      </c>
      <c r="S145" s="203" t="s">
        <v>16</v>
      </c>
      <c r="T145" s="160" t="s">
        <v>16</v>
      </c>
      <c r="U145" s="186" t="s">
        <v>16</v>
      </c>
    </row>
    <row r="146" spans="1:21" ht="12.6" customHeight="1">
      <c r="A146" s="205" t="s">
        <v>122</v>
      </c>
      <c r="B146" s="205" t="s">
        <v>965</v>
      </c>
      <c r="C146" s="172">
        <v>600</v>
      </c>
      <c r="D146" s="211">
        <v>5.6</v>
      </c>
      <c r="E146" s="172">
        <v>960</v>
      </c>
      <c r="F146" s="207" t="s">
        <v>123</v>
      </c>
      <c r="G146" s="195">
        <v>5.5</v>
      </c>
      <c r="H146" s="176">
        <v>3.28</v>
      </c>
      <c r="I146" s="172">
        <v>386</v>
      </c>
      <c r="J146" s="172">
        <v>133</v>
      </c>
      <c r="K146" s="298" t="s">
        <v>376</v>
      </c>
      <c r="L146" s="197">
        <f>AVERAGE(2499,2198,2589,2787,2558,2280)</f>
        <v>2485.1666666666665</v>
      </c>
      <c r="M146" s="188" t="s">
        <v>1001</v>
      </c>
      <c r="N146" s="197">
        <f>AVERAGE(2999,3499)</f>
        <v>3249</v>
      </c>
      <c r="O146" s="188" t="s">
        <v>863</v>
      </c>
      <c r="P146" s="172">
        <v>1695</v>
      </c>
      <c r="Q146" s="172" t="s">
        <v>369</v>
      </c>
      <c r="R146" s="188" t="s">
        <v>29</v>
      </c>
      <c r="S146" s="197" t="s">
        <v>16</v>
      </c>
      <c r="T146" s="172" t="s">
        <v>16</v>
      </c>
      <c r="U146" s="188" t="s">
        <v>16</v>
      </c>
    </row>
    <row r="147" spans="1:21" s="37" customFormat="1" ht="12.6" customHeight="1">
      <c r="A147" s="205" t="s">
        <v>122</v>
      </c>
      <c r="B147" s="205" t="s">
        <v>210</v>
      </c>
      <c r="C147" s="211">
        <v>1200</v>
      </c>
      <c r="D147" s="211">
        <v>8</v>
      </c>
      <c r="E147" s="172">
        <v>1920</v>
      </c>
      <c r="F147" s="212" t="s">
        <v>123</v>
      </c>
      <c r="G147" s="195">
        <v>8</v>
      </c>
      <c r="H147" s="176">
        <v>8.58</v>
      </c>
      <c r="I147" s="172">
        <v>684</v>
      </c>
      <c r="J147" s="172">
        <v>170</v>
      </c>
      <c r="K147" s="172">
        <v>49</v>
      </c>
      <c r="L147" s="197">
        <f>AVERAGE(0)</f>
        <v>0</v>
      </c>
      <c r="M147" s="211" t="s">
        <v>16</v>
      </c>
      <c r="N147" s="197">
        <f>AVERAGE(0)</f>
        <v>0</v>
      </c>
      <c r="O147" s="208" t="s">
        <v>16</v>
      </c>
      <c r="P147" s="197" t="s">
        <v>16</v>
      </c>
      <c r="Q147" s="211" t="s">
        <v>16</v>
      </c>
      <c r="R147" s="172" t="s">
        <v>16</v>
      </c>
      <c r="S147" s="197" t="s">
        <v>16</v>
      </c>
      <c r="T147" s="211" t="s">
        <v>16</v>
      </c>
      <c r="U147" s="188" t="s">
        <v>16</v>
      </c>
    </row>
    <row r="148" spans="1:21" s="37" customFormat="1" ht="12.6" customHeight="1">
      <c r="A148" s="243" t="s">
        <v>609</v>
      </c>
      <c r="B148" s="244"/>
      <c r="C148" s="179"/>
      <c r="D148" s="245"/>
      <c r="E148" s="179"/>
      <c r="F148" s="246" t="s">
        <v>16</v>
      </c>
      <c r="G148" s="247" t="s">
        <v>16</v>
      </c>
      <c r="H148" s="248" t="s">
        <v>16</v>
      </c>
      <c r="I148" s="179" t="s">
        <v>16</v>
      </c>
      <c r="J148" s="179" t="s">
        <v>16</v>
      </c>
      <c r="K148" s="179" t="s">
        <v>16</v>
      </c>
      <c r="L148" s="179" t="s">
        <v>16</v>
      </c>
      <c r="M148" s="179" t="s">
        <v>16</v>
      </c>
      <c r="N148" s="179" t="s">
        <v>16</v>
      </c>
      <c r="O148" s="179" t="s">
        <v>16</v>
      </c>
      <c r="P148" s="179" t="s">
        <v>16</v>
      </c>
      <c r="Q148" s="179" t="s">
        <v>16</v>
      </c>
      <c r="R148" s="179" t="s">
        <v>16</v>
      </c>
      <c r="S148" s="179" t="s">
        <v>16</v>
      </c>
      <c r="T148" s="179" t="s">
        <v>16</v>
      </c>
      <c r="U148" s="179" t="s">
        <v>16</v>
      </c>
    </row>
    <row r="149" spans="1:21" ht="12.6" customHeight="1">
      <c r="A149" s="213" t="s">
        <v>503</v>
      </c>
      <c r="B149" s="213" t="s">
        <v>779</v>
      </c>
      <c r="C149" s="141">
        <v>10</v>
      </c>
      <c r="D149" s="142">
        <v>2.8</v>
      </c>
      <c r="E149" s="141">
        <v>16</v>
      </c>
      <c r="F149" s="202" t="s">
        <v>800</v>
      </c>
      <c r="G149" s="215">
        <v>0.24</v>
      </c>
      <c r="H149" s="216">
        <v>0.59</v>
      </c>
      <c r="I149" s="141">
        <v>79.2</v>
      </c>
      <c r="J149" s="141">
        <v>86</v>
      </c>
      <c r="K149" s="141" t="s">
        <v>31</v>
      </c>
      <c r="L149" s="203">
        <f>AVERAGE(0)</f>
        <v>0</v>
      </c>
      <c r="M149" s="141" t="s">
        <v>16</v>
      </c>
      <c r="N149" s="203">
        <f>AVERAGE(0)</f>
        <v>0</v>
      </c>
      <c r="O149" s="186" t="s">
        <v>16</v>
      </c>
      <c r="P149" s="141" t="s">
        <v>16</v>
      </c>
      <c r="Q149" s="141" t="s">
        <v>16</v>
      </c>
      <c r="R149" s="186" t="s">
        <v>16</v>
      </c>
      <c r="S149" s="281">
        <v>402</v>
      </c>
      <c r="T149" s="141" t="s">
        <v>793</v>
      </c>
      <c r="U149" s="186" t="s">
        <v>32</v>
      </c>
    </row>
    <row r="150" spans="1:21" ht="12.6" customHeight="1">
      <c r="A150" s="213" t="s">
        <v>430</v>
      </c>
      <c r="B150" s="213" t="s">
        <v>487</v>
      </c>
      <c r="C150" s="141">
        <v>14</v>
      </c>
      <c r="D150" s="142">
        <v>2.8</v>
      </c>
      <c r="E150" s="141">
        <f>C150*1.6</f>
        <v>22.400000000000002</v>
      </c>
      <c r="F150" s="202" t="s">
        <v>608</v>
      </c>
      <c r="G150" s="215">
        <v>0.28000000000000003</v>
      </c>
      <c r="H150" s="216">
        <v>0.57299999999999995</v>
      </c>
      <c r="I150" s="141">
        <v>93.6</v>
      </c>
      <c r="J150" s="141">
        <v>87</v>
      </c>
      <c r="K150" s="186" t="s">
        <v>31</v>
      </c>
      <c r="L150" s="203">
        <f>AVERAGE(200,191,223,198,213,200,251)</f>
        <v>210.85714285714286</v>
      </c>
      <c r="M150" s="141" t="s">
        <v>1092</v>
      </c>
      <c r="N150" s="203">
        <f>AVERAGE(285,295,315,270,250,240,250,279,305,301)</f>
        <v>279</v>
      </c>
      <c r="O150" s="204" t="s">
        <v>1092</v>
      </c>
      <c r="P150" s="203">
        <v>250</v>
      </c>
      <c r="Q150" s="141" t="s">
        <v>862</v>
      </c>
      <c r="R150" s="186" t="s">
        <v>33</v>
      </c>
      <c r="S150" s="203">
        <v>240</v>
      </c>
      <c r="T150" s="141" t="s">
        <v>881</v>
      </c>
      <c r="U150" s="186" t="s">
        <v>33</v>
      </c>
    </row>
    <row r="151" spans="1:21" ht="12.6" customHeight="1">
      <c r="A151" s="213" t="s">
        <v>503</v>
      </c>
      <c r="B151" s="213" t="s">
        <v>780</v>
      </c>
      <c r="C151" s="141">
        <v>16</v>
      </c>
      <c r="D151" s="142">
        <v>2</v>
      </c>
      <c r="E151" s="141">
        <v>25.6</v>
      </c>
      <c r="F151" s="202" t="s">
        <v>800</v>
      </c>
      <c r="G151" s="149">
        <v>0.2</v>
      </c>
      <c r="H151" s="216">
        <v>0.58299999999999996</v>
      </c>
      <c r="I151" s="141">
        <v>89.4</v>
      </c>
      <c r="J151" s="141">
        <v>83</v>
      </c>
      <c r="K151" s="186">
        <v>77</v>
      </c>
      <c r="L151" s="203">
        <f>AVERAGE(0)</f>
        <v>0</v>
      </c>
      <c r="M151" s="141" t="s">
        <v>16</v>
      </c>
      <c r="N151" s="203">
        <f>AVERAGE(327,299)</f>
        <v>313</v>
      </c>
      <c r="O151" s="204" t="s">
        <v>881</v>
      </c>
      <c r="P151" s="203" t="s">
        <v>16</v>
      </c>
      <c r="Q151" s="141" t="s">
        <v>16</v>
      </c>
      <c r="R151" s="186" t="s">
        <v>16</v>
      </c>
      <c r="S151" s="281">
        <v>370</v>
      </c>
      <c r="T151" s="141" t="s">
        <v>793</v>
      </c>
      <c r="U151" s="186" t="s">
        <v>32</v>
      </c>
    </row>
    <row r="152" spans="1:21" ht="12.6" customHeight="1">
      <c r="A152" s="213" t="s">
        <v>430</v>
      </c>
      <c r="B152" s="213" t="s">
        <v>511</v>
      </c>
      <c r="C152" s="141">
        <v>24</v>
      </c>
      <c r="D152" s="142">
        <v>1.4</v>
      </c>
      <c r="E152" s="141">
        <f>C152*1.6</f>
        <v>38.400000000000006</v>
      </c>
      <c r="F152" s="202" t="s">
        <v>608</v>
      </c>
      <c r="G152" s="215">
        <v>0.25</v>
      </c>
      <c r="H152" s="216" t="s">
        <v>16</v>
      </c>
      <c r="I152" s="141">
        <v>97.5</v>
      </c>
      <c r="J152" s="141">
        <v>83</v>
      </c>
      <c r="K152" s="186">
        <v>77</v>
      </c>
      <c r="L152" s="203">
        <f>AVERAGE(350,380,360,399,405,399,361,340)</f>
        <v>374.25</v>
      </c>
      <c r="M152" s="141" t="s">
        <v>1008</v>
      </c>
      <c r="N152" s="203">
        <f>AVERAGE(429,429,399,400,409,411,419,409)</f>
        <v>413.125</v>
      </c>
      <c r="O152" s="280" t="s">
        <v>1008</v>
      </c>
      <c r="P152" s="203" t="s">
        <v>16</v>
      </c>
      <c r="Q152" s="141" t="s">
        <v>16</v>
      </c>
      <c r="R152" s="186" t="s">
        <v>16</v>
      </c>
      <c r="S152" s="203">
        <v>468</v>
      </c>
      <c r="T152" s="141" t="s">
        <v>765</v>
      </c>
      <c r="U152" s="186" t="s">
        <v>30</v>
      </c>
    </row>
    <row r="153" spans="1:21" ht="12.6" customHeight="1">
      <c r="A153" s="213" t="s">
        <v>430</v>
      </c>
      <c r="B153" s="213" t="s">
        <v>638</v>
      </c>
      <c r="C153" s="141">
        <v>24</v>
      </c>
      <c r="D153" s="142">
        <v>3.5</v>
      </c>
      <c r="E153" s="141">
        <f>C153*1.6</f>
        <v>38.400000000000006</v>
      </c>
      <c r="F153" s="202" t="s">
        <v>608</v>
      </c>
      <c r="G153" s="215">
        <v>0.2</v>
      </c>
      <c r="H153" s="216">
        <v>0.68</v>
      </c>
      <c r="I153" s="141">
        <v>113</v>
      </c>
      <c r="J153" s="141">
        <v>44.5</v>
      </c>
      <c r="K153" s="186">
        <v>82</v>
      </c>
      <c r="L153" s="203">
        <f>AVERAGE(556,529,494,377,599,540,576)</f>
        <v>524.42857142857144</v>
      </c>
      <c r="M153" s="280" t="s">
        <v>881</v>
      </c>
      <c r="N153" s="203">
        <f>AVERAGE(765,599,699,680,699,699)</f>
        <v>690.16666666666663</v>
      </c>
      <c r="O153" s="280" t="s">
        <v>1092</v>
      </c>
      <c r="P153" s="203">
        <v>570</v>
      </c>
      <c r="Q153" s="141" t="s">
        <v>881</v>
      </c>
      <c r="R153" s="186" t="s">
        <v>757</v>
      </c>
      <c r="S153" s="281" t="s">
        <v>16</v>
      </c>
      <c r="T153" s="141" t="s">
        <v>16</v>
      </c>
      <c r="U153" s="186" t="s">
        <v>16</v>
      </c>
    </row>
    <row r="154" spans="1:21" ht="12.6" customHeight="1">
      <c r="A154" s="213" t="s">
        <v>503</v>
      </c>
      <c r="B154" s="213" t="s">
        <v>442</v>
      </c>
      <c r="C154" s="141">
        <v>35</v>
      </c>
      <c r="D154" s="142">
        <v>1.4</v>
      </c>
      <c r="E154" s="141">
        <f t="shared" ref="E154" si="0">C154*1.6</f>
        <v>56</v>
      </c>
      <c r="F154" s="202" t="s">
        <v>608</v>
      </c>
      <c r="G154" s="215">
        <v>0.3</v>
      </c>
      <c r="H154" s="216">
        <v>0.41699999999999998</v>
      </c>
      <c r="I154" s="141">
        <v>77.3</v>
      </c>
      <c r="J154" s="141">
        <v>83</v>
      </c>
      <c r="K154" s="186">
        <v>77</v>
      </c>
      <c r="L154" s="203">
        <f>AVERAGE(261,285,224,252,290,290,275,243.163,320,193,290)</f>
        <v>265.7420909090909</v>
      </c>
      <c r="M154" s="141" t="s">
        <v>1092</v>
      </c>
      <c r="N154" s="203">
        <f>AVERAGE(360,350,300,400,350,370,329,340,429)</f>
        <v>358.66666666666669</v>
      </c>
      <c r="O154" s="280" t="s">
        <v>1001</v>
      </c>
      <c r="P154" s="203">
        <v>315</v>
      </c>
      <c r="Q154" s="141" t="s">
        <v>862</v>
      </c>
      <c r="R154" s="186" t="s">
        <v>33</v>
      </c>
      <c r="S154" s="203">
        <v>350</v>
      </c>
      <c r="T154" s="141" t="s">
        <v>881</v>
      </c>
      <c r="U154" s="186" t="s">
        <v>32</v>
      </c>
    </row>
    <row r="155" spans="1:21" ht="12.6" customHeight="1">
      <c r="A155" s="213" t="s">
        <v>503</v>
      </c>
      <c r="B155" s="213" t="s">
        <v>796</v>
      </c>
      <c r="C155" s="141">
        <v>50</v>
      </c>
      <c r="D155" s="142">
        <v>1.4</v>
      </c>
      <c r="E155" s="141">
        <f>C155*1.6</f>
        <v>80</v>
      </c>
      <c r="F155" s="202" t="s">
        <v>608</v>
      </c>
      <c r="G155" s="215">
        <v>0.45</v>
      </c>
      <c r="H155" s="216">
        <v>0.54</v>
      </c>
      <c r="I155" s="141">
        <v>73.7</v>
      </c>
      <c r="J155" s="141">
        <v>81.3</v>
      </c>
      <c r="K155" s="186">
        <v>77</v>
      </c>
      <c r="L155" s="203">
        <f>AVERAGE(219,154,220)</f>
        <v>197.66666666666666</v>
      </c>
      <c r="M155" s="141" t="s">
        <v>881</v>
      </c>
      <c r="N155" s="203">
        <f>AVERAGE(233)</f>
        <v>233</v>
      </c>
      <c r="O155" s="280" t="s">
        <v>881</v>
      </c>
      <c r="P155" s="203">
        <v>280</v>
      </c>
      <c r="Q155" s="141" t="s">
        <v>862</v>
      </c>
      <c r="R155" s="186" t="s">
        <v>33</v>
      </c>
      <c r="S155" s="281">
        <v>400</v>
      </c>
      <c r="T155" s="141" t="s">
        <v>813</v>
      </c>
      <c r="U155" s="186" t="s">
        <v>32</v>
      </c>
    </row>
    <row r="156" spans="1:21" ht="12.6" customHeight="1">
      <c r="A156" s="213" t="s">
        <v>503</v>
      </c>
      <c r="B156" s="213" t="s">
        <v>375</v>
      </c>
      <c r="C156" s="141">
        <v>85</v>
      </c>
      <c r="D156" s="142">
        <v>1.4</v>
      </c>
      <c r="E156" s="141">
        <f t="shared" ref="E156" si="1">C156*1.6</f>
        <v>136</v>
      </c>
      <c r="F156" s="202" t="s">
        <v>608</v>
      </c>
      <c r="G156" s="215">
        <v>1</v>
      </c>
      <c r="H156" s="216">
        <v>0.53900000000000003</v>
      </c>
      <c r="I156" s="141">
        <v>74.7</v>
      </c>
      <c r="J156" s="141">
        <v>78</v>
      </c>
      <c r="K156" s="186">
        <v>72</v>
      </c>
      <c r="L156" s="203">
        <f>AVERAGE(203,191,160,222,184,203,189,194,180,223,200)</f>
        <v>195.36363636363637</v>
      </c>
      <c r="M156" s="141" t="s">
        <v>1008</v>
      </c>
      <c r="N156" s="203">
        <f>AVERAGE(220,229,220,225,240,269,269,249,259)</f>
        <v>242.22222222222223</v>
      </c>
      <c r="O156" s="280" t="s">
        <v>1092</v>
      </c>
      <c r="P156" s="203">
        <v>210</v>
      </c>
      <c r="Q156" s="141" t="s">
        <v>765</v>
      </c>
      <c r="R156" s="186" t="s">
        <v>32</v>
      </c>
      <c r="S156" s="281">
        <v>208</v>
      </c>
      <c r="T156" s="141" t="s">
        <v>821</v>
      </c>
      <c r="U156" s="186" t="s">
        <v>30</v>
      </c>
    </row>
    <row r="157" spans="1:21" ht="12.6" customHeight="1">
      <c r="A157" s="213" t="s">
        <v>430</v>
      </c>
      <c r="B157" s="213" t="s">
        <v>828</v>
      </c>
      <c r="C157" s="141">
        <v>100</v>
      </c>
      <c r="D157" s="142">
        <v>2.8</v>
      </c>
      <c r="E157" s="141">
        <f t="shared" ref="E157:E185" si="2">C157*1.6</f>
        <v>160</v>
      </c>
      <c r="F157" s="202" t="s">
        <v>608</v>
      </c>
      <c r="G157" s="215">
        <v>0.307</v>
      </c>
      <c r="H157" s="216">
        <v>0.72</v>
      </c>
      <c r="I157" s="141">
        <v>123.1</v>
      </c>
      <c r="J157" s="141">
        <v>72.599999999999994</v>
      </c>
      <c r="K157" s="186">
        <v>67</v>
      </c>
      <c r="L157" s="203" t="s">
        <v>16</v>
      </c>
      <c r="M157" s="141" t="s">
        <v>16</v>
      </c>
      <c r="N157" s="281">
        <f>AVERAGE(399)</f>
        <v>399</v>
      </c>
      <c r="O157" s="280" t="s">
        <v>881</v>
      </c>
      <c r="P157" s="203" t="s">
        <v>16</v>
      </c>
      <c r="Q157" s="141" t="s">
        <v>16</v>
      </c>
      <c r="R157" s="186" t="s">
        <v>16</v>
      </c>
      <c r="S157" s="281">
        <v>550</v>
      </c>
      <c r="T157" s="141" t="s">
        <v>835</v>
      </c>
      <c r="U157" s="186" t="s">
        <v>32</v>
      </c>
    </row>
    <row r="158" spans="1:21" ht="12.6" customHeight="1">
      <c r="A158" s="205" t="s">
        <v>503</v>
      </c>
      <c r="B158" s="205" t="s">
        <v>967</v>
      </c>
      <c r="C158" s="172">
        <v>135</v>
      </c>
      <c r="D158" s="211">
        <v>2</v>
      </c>
      <c r="E158" s="172">
        <f t="shared" si="2"/>
        <v>216</v>
      </c>
      <c r="F158" s="207" t="s">
        <v>31</v>
      </c>
      <c r="G158" s="195">
        <v>0.8</v>
      </c>
      <c r="H158" s="176">
        <v>0.83</v>
      </c>
      <c r="I158" s="172">
        <v>122</v>
      </c>
      <c r="J158" s="172">
        <v>82</v>
      </c>
      <c r="K158" s="188">
        <v>77</v>
      </c>
      <c r="L158" s="197" t="s">
        <v>16</v>
      </c>
      <c r="M158" s="188" t="s">
        <v>16</v>
      </c>
      <c r="N158" s="197">
        <f>AVERAGE(400,403)</f>
        <v>401.5</v>
      </c>
      <c r="O158" s="188" t="s">
        <v>1092</v>
      </c>
      <c r="P158" s="197" t="s">
        <v>16</v>
      </c>
      <c r="Q158" s="172" t="s">
        <v>16</v>
      </c>
      <c r="R158" s="188" t="s">
        <v>16</v>
      </c>
      <c r="S158" s="286">
        <v>550</v>
      </c>
      <c r="T158" s="172" t="s">
        <v>835</v>
      </c>
      <c r="U158" s="188" t="s">
        <v>32</v>
      </c>
    </row>
    <row r="159" spans="1:21" ht="12.6" customHeight="1">
      <c r="A159" s="205" t="s">
        <v>610</v>
      </c>
      <c r="B159" s="205" t="s">
        <v>675</v>
      </c>
      <c r="C159" s="172">
        <v>58</v>
      </c>
      <c r="D159" s="211">
        <v>1.2</v>
      </c>
      <c r="E159" s="172">
        <f t="shared" si="2"/>
        <v>92.800000000000011</v>
      </c>
      <c r="F159" s="207" t="s">
        <v>799</v>
      </c>
      <c r="G159" s="195">
        <v>0.6</v>
      </c>
      <c r="H159" s="176">
        <v>0.45500000000000002</v>
      </c>
      <c r="I159" s="172">
        <v>54</v>
      </c>
      <c r="J159" s="172">
        <v>69</v>
      </c>
      <c r="K159" s="172">
        <v>55</v>
      </c>
      <c r="L159" s="197">
        <f>AVERAGE(312,340,372,317,403,425,350,398,448,350,331,319)</f>
        <v>363.75</v>
      </c>
      <c r="M159" s="188" t="s">
        <v>1092</v>
      </c>
      <c r="N159" s="197">
        <f>AVERAGE(465,578,549,600,630,584,548,567,545,550,550)</f>
        <v>560.5454545454545</v>
      </c>
      <c r="O159" s="188" t="s">
        <v>1092</v>
      </c>
      <c r="P159" s="172">
        <v>450</v>
      </c>
      <c r="Q159" s="172" t="s">
        <v>677</v>
      </c>
      <c r="R159" s="188" t="s">
        <v>32</v>
      </c>
      <c r="S159" s="197" t="s">
        <v>16</v>
      </c>
      <c r="T159" s="172" t="s">
        <v>16</v>
      </c>
      <c r="U159" s="188" t="s">
        <v>16</v>
      </c>
    </row>
    <row r="160" spans="1:21" ht="12.6" customHeight="1">
      <c r="A160" s="213" t="s">
        <v>687</v>
      </c>
      <c r="B160" s="213" t="s">
        <v>691</v>
      </c>
      <c r="C160" s="141">
        <v>16</v>
      </c>
      <c r="D160" s="142">
        <v>2.8</v>
      </c>
      <c r="E160" s="141">
        <f t="shared" si="2"/>
        <v>25.6</v>
      </c>
      <c r="F160" s="202" t="s">
        <v>121</v>
      </c>
      <c r="G160" s="215">
        <v>0.25</v>
      </c>
      <c r="H160" s="216">
        <v>0.42499999999999999</v>
      </c>
      <c r="I160" s="141" t="s">
        <v>16</v>
      </c>
      <c r="J160" s="141" t="s">
        <v>16</v>
      </c>
      <c r="K160" s="186" t="s">
        <v>128</v>
      </c>
      <c r="L160" s="203">
        <f>AVERAGE(170,205)</f>
        <v>187.5</v>
      </c>
      <c r="M160" s="280" t="s">
        <v>837</v>
      </c>
      <c r="N160" s="203">
        <f>AVERAGE(340,400)</f>
        <v>370</v>
      </c>
      <c r="O160" s="204" t="s">
        <v>863</v>
      </c>
      <c r="P160" s="203" t="s">
        <v>16</v>
      </c>
      <c r="Q160" s="141" t="s">
        <v>16</v>
      </c>
      <c r="R160" s="186" t="s">
        <v>16</v>
      </c>
      <c r="S160" s="203" t="s">
        <v>16</v>
      </c>
      <c r="T160" s="141" t="s">
        <v>16</v>
      </c>
      <c r="U160" s="186" t="s">
        <v>16</v>
      </c>
    </row>
    <row r="161" spans="1:21" ht="12.6" customHeight="1">
      <c r="A161" s="213" t="s">
        <v>687</v>
      </c>
      <c r="B161" s="213" t="s">
        <v>678</v>
      </c>
      <c r="C161" s="141">
        <v>19</v>
      </c>
      <c r="D161" s="142">
        <v>3.5</v>
      </c>
      <c r="E161" s="141">
        <f t="shared" si="2"/>
        <v>30.400000000000002</v>
      </c>
      <c r="F161" s="202" t="s">
        <v>121</v>
      </c>
      <c r="G161" s="215">
        <v>0.3</v>
      </c>
      <c r="H161" s="216">
        <v>0.26400000000000001</v>
      </c>
      <c r="I161" s="141" t="s">
        <v>16</v>
      </c>
      <c r="J161" s="141" t="s">
        <v>16</v>
      </c>
      <c r="K161" s="186">
        <v>72</v>
      </c>
      <c r="L161" s="203">
        <f>AVERAGE(235,242,211,320,292,300,351,345,310,364)</f>
        <v>297</v>
      </c>
      <c r="M161" s="141" t="s">
        <v>1092</v>
      </c>
      <c r="N161" s="203">
        <f>AVERAGE(439,415)</f>
        <v>427</v>
      </c>
      <c r="O161" s="280" t="s">
        <v>835</v>
      </c>
      <c r="P161" s="203" t="s">
        <v>16</v>
      </c>
      <c r="Q161" s="141" t="s">
        <v>16</v>
      </c>
      <c r="R161" s="186" t="s">
        <v>16</v>
      </c>
      <c r="S161" s="203" t="s">
        <v>16</v>
      </c>
      <c r="T161" s="141" t="s">
        <v>16</v>
      </c>
      <c r="U161" s="186" t="s">
        <v>16</v>
      </c>
    </row>
    <row r="162" spans="1:21" ht="12.6" customHeight="1">
      <c r="A162" s="213" t="s">
        <v>687</v>
      </c>
      <c r="B162" s="213" t="s">
        <v>679</v>
      </c>
      <c r="C162" s="141">
        <v>24</v>
      </c>
      <c r="D162" s="142">
        <v>2.8</v>
      </c>
      <c r="E162" s="141">
        <f t="shared" si="2"/>
        <v>38.400000000000006</v>
      </c>
      <c r="F162" s="202" t="s">
        <v>121</v>
      </c>
      <c r="G162" s="215">
        <v>0.3</v>
      </c>
      <c r="H162" s="216">
        <v>0.17499999999999999</v>
      </c>
      <c r="I162" s="141" t="s">
        <v>16</v>
      </c>
      <c r="J162" s="141" t="s">
        <v>16</v>
      </c>
      <c r="K162" s="141">
        <v>49</v>
      </c>
      <c r="L162" s="203">
        <f>AVERAGE(118,200)</f>
        <v>159</v>
      </c>
      <c r="M162" s="186" t="s">
        <v>863</v>
      </c>
      <c r="N162" s="203">
        <f t="shared" ref="N162" si="3">AVERAGE(0)</f>
        <v>0</v>
      </c>
      <c r="O162" s="280" t="s">
        <v>16</v>
      </c>
      <c r="P162" s="141" t="s">
        <v>16</v>
      </c>
      <c r="Q162" s="141" t="s">
        <v>16</v>
      </c>
      <c r="R162" s="141" t="s">
        <v>16</v>
      </c>
      <c r="S162" s="203" t="s">
        <v>16</v>
      </c>
      <c r="T162" s="141" t="s">
        <v>16</v>
      </c>
      <c r="U162" s="186" t="s">
        <v>16</v>
      </c>
    </row>
    <row r="163" spans="1:21" ht="12.6" customHeight="1">
      <c r="A163" s="213" t="s">
        <v>687</v>
      </c>
      <c r="B163" s="213" t="s">
        <v>680</v>
      </c>
      <c r="C163" s="141">
        <v>35</v>
      </c>
      <c r="D163" s="142">
        <v>1.9</v>
      </c>
      <c r="E163" s="141">
        <f t="shared" si="2"/>
        <v>56</v>
      </c>
      <c r="F163" s="202" t="s">
        <v>121</v>
      </c>
      <c r="G163" s="215">
        <v>0.4</v>
      </c>
      <c r="H163" s="216">
        <v>0.23</v>
      </c>
      <c r="I163" s="141" t="s">
        <v>16</v>
      </c>
      <c r="J163" s="141" t="s">
        <v>16</v>
      </c>
      <c r="K163" s="141">
        <v>49</v>
      </c>
      <c r="L163" s="203">
        <f>AVERAGE(250)</f>
        <v>250</v>
      </c>
      <c r="M163" s="186" t="s">
        <v>696</v>
      </c>
      <c r="N163" s="203">
        <f>AVERAGE(324,297,305)</f>
        <v>308.66666666666669</v>
      </c>
      <c r="O163" s="280" t="s">
        <v>881</v>
      </c>
      <c r="P163" s="141" t="s">
        <v>16</v>
      </c>
      <c r="Q163" s="141" t="s">
        <v>16</v>
      </c>
      <c r="R163" s="141" t="s">
        <v>16</v>
      </c>
      <c r="S163" s="203" t="s">
        <v>16</v>
      </c>
      <c r="T163" s="141" t="s">
        <v>16</v>
      </c>
      <c r="U163" s="186" t="s">
        <v>16</v>
      </c>
    </row>
    <row r="164" spans="1:21" ht="12.6" customHeight="1">
      <c r="A164" s="213" t="s">
        <v>687</v>
      </c>
      <c r="B164" s="213" t="s">
        <v>681</v>
      </c>
      <c r="C164" s="141">
        <v>35</v>
      </c>
      <c r="D164" s="142">
        <v>2.8</v>
      </c>
      <c r="E164" s="141">
        <f t="shared" si="2"/>
        <v>56</v>
      </c>
      <c r="F164" s="202" t="s">
        <v>121</v>
      </c>
      <c r="G164" s="215">
        <v>0.4</v>
      </c>
      <c r="H164" s="216">
        <v>0.185</v>
      </c>
      <c r="I164" s="141">
        <v>44</v>
      </c>
      <c r="J164" s="141">
        <v>60</v>
      </c>
      <c r="K164" s="141">
        <v>49</v>
      </c>
      <c r="L164" s="203">
        <f>AVERAGE(125,129,125,76,82,100,138,122)</f>
        <v>112.125</v>
      </c>
      <c r="M164" s="186" t="s">
        <v>807</v>
      </c>
      <c r="N164" s="203">
        <f>AVERAGE(150,181,129,150,153,145,149,138,143)</f>
        <v>148.66666666666666</v>
      </c>
      <c r="O164" s="280" t="s">
        <v>810</v>
      </c>
      <c r="P164" s="141" t="s">
        <v>16</v>
      </c>
      <c r="Q164" s="141" t="s">
        <v>16</v>
      </c>
      <c r="R164" s="141" t="s">
        <v>16</v>
      </c>
      <c r="S164" s="203" t="s">
        <v>16</v>
      </c>
      <c r="T164" s="141" t="s">
        <v>16</v>
      </c>
      <c r="U164" s="186" t="s">
        <v>16</v>
      </c>
    </row>
    <row r="165" spans="1:21" ht="12.6" customHeight="1">
      <c r="A165" s="213" t="s">
        <v>687</v>
      </c>
      <c r="B165" s="213" t="s">
        <v>682</v>
      </c>
      <c r="C165" s="141">
        <v>50</v>
      </c>
      <c r="D165" s="142">
        <v>1.4</v>
      </c>
      <c r="E165" s="141">
        <f t="shared" si="2"/>
        <v>80</v>
      </c>
      <c r="F165" s="202" t="s">
        <v>121</v>
      </c>
      <c r="G165" s="215">
        <v>0.45</v>
      </c>
      <c r="H165" s="216">
        <v>0.27</v>
      </c>
      <c r="I165" s="141">
        <v>43</v>
      </c>
      <c r="J165" s="141">
        <v>63</v>
      </c>
      <c r="K165" s="141">
        <v>49</v>
      </c>
      <c r="L165" s="203">
        <f>AVERAGE(117,110,155,124,129,107,150,135,107,125)</f>
        <v>125.9</v>
      </c>
      <c r="M165" s="280" t="s">
        <v>1008</v>
      </c>
      <c r="N165" s="203">
        <f>AVERAGE(230,205,200,220,212,210,180,173)</f>
        <v>203.75</v>
      </c>
      <c r="O165" s="280" t="s">
        <v>862</v>
      </c>
      <c r="P165" s="141" t="s">
        <v>16</v>
      </c>
      <c r="Q165" s="141" t="s">
        <v>16</v>
      </c>
      <c r="R165" s="141" t="s">
        <v>16</v>
      </c>
      <c r="S165" s="203" t="s">
        <v>16</v>
      </c>
      <c r="T165" s="141" t="s">
        <v>16</v>
      </c>
      <c r="U165" s="186" t="s">
        <v>16</v>
      </c>
    </row>
    <row r="166" spans="1:21" s="37" customFormat="1" ht="12.6" customHeight="1">
      <c r="A166" s="213" t="s">
        <v>687</v>
      </c>
      <c r="B166" s="213" t="s">
        <v>686</v>
      </c>
      <c r="C166" s="142">
        <v>55</v>
      </c>
      <c r="D166" s="142">
        <v>3.5</v>
      </c>
      <c r="E166" s="141">
        <f t="shared" si="2"/>
        <v>88</v>
      </c>
      <c r="F166" s="202" t="s">
        <v>121</v>
      </c>
      <c r="G166" s="215">
        <v>0.4</v>
      </c>
      <c r="H166" s="216">
        <v>0.185</v>
      </c>
      <c r="I166" s="141" t="s">
        <v>16</v>
      </c>
      <c r="J166" s="141" t="s">
        <v>16</v>
      </c>
      <c r="K166" s="141">
        <v>49</v>
      </c>
      <c r="L166" s="203">
        <f>AVERAGE(137,149,150)</f>
        <v>145.33333333333334</v>
      </c>
      <c r="M166" s="280" t="s">
        <v>863</v>
      </c>
      <c r="N166" s="203">
        <f>AVERAGE(300,260,239,280,275,280)</f>
        <v>272.33333333333331</v>
      </c>
      <c r="O166" s="280" t="s">
        <v>1092</v>
      </c>
      <c r="P166" s="141" t="s">
        <v>16</v>
      </c>
      <c r="Q166" s="160" t="s">
        <v>16</v>
      </c>
      <c r="R166" s="141" t="s">
        <v>16</v>
      </c>
      <c r="S166" s="203" t="s">
        <v>16</v>
      </c>
      <c r="T166" s="160" t="s">
        <v>16</v>
      </c>
      <c r="U166" s="186" t="s">
        <v>16</v>
      </c>
    </row>
    <row r="167" spans="1:21" s="37" customFormat="1" ht="12.6" customHeight="1">
      <c r="A167" s="213" t="s">
        <v>687</v>
      </c>
      <c r="B167" s="213" t="s">
        <v>683</v>
      </c>
      <c r="C167" s="142">
        <v>85</v>
      </c>
      <c r="D167" s="142">
        <v>4</v>
      </c>
      <c r="E167" s="141">
        <f t="shared" si="2"/>
        <v>136</v>
      </c>
      <c r="F167" s="202" t="s">
        <v>121</v>
      </c>
      <c r="G167" s="215">
        <v>1</v>
      </c>
      <c r="H167" s="216">
        <v>0.28499999999999998</v>
      </c>
      <c r="I167" s="141" t="s">
        <v>16</v>
      </c>
      <c r="J167" s="141" t="s">
        <v>16</v>
      </c>
      <c r="K167" s="141">
        <v>49</v>
      </c>
      <c r="L167" s="203">
        <f>AVERAGE(203,382)</f>
        <v>292.5</v>
      </c>
      <c r="M167" s="280" t="s">
        <v>862</v>
      </c>
      <c r="N167" s="203">
        <f>AVERAGE(757,800,850)</f>
        <v>802.33333333333337</v>
      </c>
      <c r="O167" s="280" t="s">
        <v>813</v>
      </c>
      <c r="P167" s="141" t="s">
        <v>16</v>
      </c>
      <c r="Q167" s="160" t="s">
        <v>16</v>
      </c>
      <c r="R167" s="141" t="s">
        <v>16</v>
      </c>
      <c r="S167" s="203" t="s">
        <v>16</v>
      </c>
      <c r="T167" s="160" t="s">
        <v>16</v>
      </c>
      <c r="U167" s="186" t="s">
        <v>16</v>
      </c>
    </row>
    <row r="168" spans="1:21" s="37" customFormat="1" ht="12.6" customHeight="1">
      <c r="A168" s="213" t="s">
        <v>687</v>
      </c>
      <c r="B168" s="213" t="s">
        <v>684</v>
      </c>
      <c r="C168" s="142">
        <v>100</v>
      </c>
      <c r="D168" s="142">
        <v>2.8</v>
      </c>
      <c r="E168" s="141">
        <f t="shared" si="2"/>
        <v>160</v>
      </c>
      <c r="F168" s="202" t="s">
        <v>121</v>
      </c>
      <c r="G168" s="215">
        <v>1.2</v>
      </c>
      <c r="H168" s="216">
        <v>0.254</v>
      </c>
      <c r="I168" s="141" t="s">
        <v>614</v>
      </c>
      <c r="J168" s="141" t="s">
        <v>16</v>
      </c>
      <c r="K168" s="141">
        <v>49</v>
      </c>
      <c r="L168" s="203">
        <f>AVERAGE(143,110,120,125,175,153,181,148,124,165)</f>
        <v>144.4</v>
      </c>
      <c r="M168" s="280" t="s">
        <v>999</v>
      </c>
      <c r="N168" s="203">
        <f>AVERAGE(223,194,171,195,200,219,231,269,255)</f>
        <v>217.44444444444446</v>
      </c>
      <c r="O168" s="280" t="s">
        <v>862</v>
      </c>
      <c r="P168" s="141" t="s">
        <v>16</v>
      </c>
      <c r="Q168" s="160" t="s">
        <v>16</v>
      </c>
      <c r="R168" s="141" t="s">
        <v>16</v>
      </c>
      <c r="S168" s="203" t="s">
        <v>16</v>
      </c>
      <c r="T168" s="160" t="s">
        <v>16</v>
      </c>
      <c r="U168" s="186" t="s">
        <v>16</v>
      </c>
    </row>
    <row r="169" spans="1:21" ht="12.6" customHeight="1">
      <c r="A169" s="205" t="s">
        <v>687</v>
      </c>
      <c r="B169" s="205" t="s">
        <v>685</v>
      </c>
      <c r="C169" s="172">
        <v>135</v>
      </c>
      <c r="D169" s="211">
        <v>2.5</v>
      </c>
      <c r="E169" s="172">
        <f t="shared" si="2"/>
        <v>216</v>
      </c>
      <c r="F169" s="207" t="s">
        <v>121</v>
      </c>
      <c r="G169" s="195">
        <v>1.5</v>
      </c>
      <c r="H169" s="176">
        <v>0.432</v>
      </c>
      <c r="I169" s="172">
        <v>80</v>
      </c>
      <c r="J169" s="172">
        <v>66</v>
      </c>
      <c r="K169" s="211">
        <v>58</v>
      </c>
      <c r="L169" s="197">
        <f>AVERAGE(199,162,146,185,147,158,170,195,129)</f>
        <v>165.66666666666666</v>
      </c>
      <c r="M169" s="188" t="s">
        <v>1001</v>
      </c>
      <c r="N169" s="197">
        <f>AVERAGE(219,300,249,306,269,275,305,298,275,264)</f>
        <v>276</v>
      </c>
      <c r="O169" s="188" t="s">
        <v>1092</v>
      </c>
      <c r="P169" s="172">
        <v>1809</v>
      </c>
      <c r="Q169" s="172" t="s">
        <v>1092</v>
      </c>
      <c r="R169" s="188" t="s">
        <v>1035</v>
      </c>
      <c r="S169" s="197" t="s">
        <v>16</v>
      </c>
      <c r="T169" s="172" t="s">
        <v>16</v>
      </c>
      <c r="U169" s="188" t="s">
        <v>16</v>
      </c>
    </row>
    <row r="170" spans="1:21" s="37" customFormat="1" ht="12.6" customHeight="1">
      <c r="A170" s="213" t="s">
        <v>572</v>
      </c>
      <c r="B170" s="213" t="s">
        <v>809</v>
      </c>
      <c r="C170" s="142">
        <v>55</v>
      </c>
      <c r="D170" s="142">
        <v>1.2</v>
      </c>
      <c r="E170" s="141">
        <f t="shared" si="2"/>
        <v>88</v>
      </c>
      <c r="F170" s="214" t="s">
        <v>31</v>
      </c>
      <c r="G170" s="215">
        <v>0.6</v>
      </c>
      <c r="H170" s="216">
        <v>0.35</v>
      </c>
      <c r="I170" s="141" t="s">
        <v>16</v>
      </c>
      <c r="J170" s="141" t="s">
        <v>16</v>
      </c>
      <c r="K170" s="141">
        <v>55</v>
      </c>
      <c r="L170" s="203">
        <f>AVERAGE(340,340,550,547,495,493,550,549,405)</f>
        <v>474.33333333333331</v>
      </c>
      <c r="M170" s="280" t="s">
        <v>1092</v>
      </c>
      <c r="N170" s="203">
        <f>AVERAGE(975,825,895,780)</f>
        <v>868.75</v>
      </c>
      <c r="O170" s="280" t="s">
        <v>703</v>
      </c>
      <c r="P170" s="141" t="s">
        <v>16</v>
      </c>
      <c r="Q170" s="160" t="s">
        <v>16</v>
      </c>
      <c r="R170" s="141" t="s">
        <v>16</v>
      </c>
      <c r="S170" s="203" t="s">
        <v>16</v>
      </c>
      <c r="T170" s="160" t="s">
        <v>16</v>
      </c>
      <c r="U170" s="186" t="s">
        <v>16</v>
      </c>
    </row>
    <row r="171" spans="1:21" s="37" customFormat="1" ht="12.6" customHeight="1">
      <c r="A171" s="213" t="s">
        <v>572</v>
      </c>
      <c r="B171" s="213" t="s">
        <v>573</v>
      </c>
      <c r="C171" s="142">
        <v>55</v>
      </c>
      <c r="D171" s="142">
        <v>1.2</v>
      </c>
      <c r="E171" s="141">
        <f t="shared" si="2"/>
        <v>88</v>
      </c>
      <c r="F171" s="214" t="s">
        <v>120</v>
      </c>
      <c r="G171" s="215">
        <v>0.6</v>
      </c>
      <c r="H171" s="216" t="s">
        <v>16</v>
      </c>
      <c r="I171" s="141" t="s">
        <v>16</v>
      </c>
      <c r="J171" s="141" t="s">
        <v>16</v>
      </c>
      <c r="K171" s="141">
        <v>58</v>
      </c>
      <c r="L171" s="203">
        <f>AVERAGE(369,443,406,299,350,435,449,390)</f>
        <v>392.625</v>
      </c>
      <c r="M171" s="280" t="s">
        <v>1008</v>
      </c>
      <c r="N171" s="203">
        <f>AVERAGE(444,460,595,425)</f>
        <v>481</v>
      </c>
      <c r="O171" s="280" t="s">
        <v>1001</v>
      </c>
      <c r="P171" s="141" t="s">
        <v>16</v>
      </c>
      <c r="Q171" s="160" t="s">
        <v>16</v>
      </c>
      <c r="R171" s="141" t="s">
        <v>16</v>
      </c>
      <c r="S171" s="203" t="s">
        <v>16</v>
      </c>
      <c r="T171" s="160" t="s">
        <v>16</v>
      </c>
      <c r="U171" s="186" t="s">
        <v>16</v>
      </c>
    </row>
    <row r="172" spans="1:21" s="37" customFormat="1" ht="12.6" customHeight="1">
      <c r="A172" s="213" t="s">
        <v>178</v>
      </c>
      <c r="B172" s="213" t="s">
        <v>762</v>
      </c>
      <c r="C172" s="142">
        <v>55</v>
      </c>
      <c r="D172" s="142">
        <v>1.2</v>
      </c>
      <c r="E172" s="141">
        <f t="shared" si="2"/>
        <v>88</v>
      </c>
      <c r="F172" s="214" t="s">
        <v>31</v>
      </c>
      <c r="G172" s="215" t="s">
        <v>16</v>
      </c>
      <c r="H172" s="216" t="s">
        <v>16</v>
      </c>
      <c r="I172" s="141" t="s">
        <v>16</v>
      </c>
      <c r="J172" s="141" t="s">
        <v>16</v>
      </c>
      <c r="K172" s="141" t="s">
        <v>16</v>
      </c>
      <c r="L172" s="203">
        <f>AVERAGE(440,605,511,590)</f>
        <v>536.5</v>
      </c>
      <c r="M172" s="280" t="s">
        <v>862</v>
      </c>
      <c r="N172" s="203">
        <f>AVERAGE(1199,1275,975,1077)</f>
        <v>1131.5</v>
      </c>
      <c r="O172" s="280" t="s">
        <v>1001</v>
      </c>
      <c r="P172" s="141" t="s">
        <v>16</v>
      </c>
      <c r="Q172" s="160" t="s">
        <v>16</v>
      </c>
      <c r="R172" s="141" t="s">
        <v>16</v>
      </c>
      <c r="S172" s="203" t="s">
        <v>16</v>
      </c>
      <c r="T172" s="160" t="s">
        <v>16</v>
      </c>
      <c r="U172" s="186" t="s">
        <v>16</v>
      </c>
    </row>
    <row r="173" spans="1:21" s="37" customFormat="1" ht="12.6" customHeight="1">
      <c r="A173" s="213" t="s">
        <v>178</v>
      </c>
      <c r="B173" s="213" t="s">
        <v>844</v>
      </c>
      <c r="C173" s="142">
        <v>55</v>
      </c>
      <c r="D173" s="142">
        <v>1.2</v>
      </c>
      <c r="E173" s="141">
        <f t="shared" si="2"/>
        <v>88</v>
      </c>
      <c r="F173" s="214" t="s">
        <v>31</v>
      </c>
      <c r="G173" s="215" t="s">
        <v>16</v>
      </c>
      <c r="H173" s="216" t="s">
        <v>16</v>
      </c>
      <c r="I173" s="141" t="s">
        <v>16</v>
      </c>
      <c r="J173" s="141" t="s">
        <v>16</v>
      </c>
      <c r="K173" s="141" t="s">
        <v>16</v>
      </c>
      <c r="L173" s="203">
        <f>AVERAGE(440,566,511,577,399,490)</f>
        <v>497.16666666666669</v>
      </c>
      <c r="M173" s="280" t="s">
        <v>881</v>
      </c>
      <c r="N173" s="203">
        <f>AVERAGE(728,566)</f>
        <v>647</v>
      </c>
      <c r="O173" s="280" t="s">
        <v>1008</v>
      </c>
      <c r="P173" s="141" t="s">
        <v>16</v>
      </c>
      <c r="Q173" s="160" t="s">
        <v>16</v>
      </c>
      <c r="R173" s="141" t="s">
        <v>16</v>
      </c>
      <c r="S173" s="203" t="s">
        <v>16</v>
      </c>
      <c r="T173" s="160" t="s">
        <v>16</v>
      </c>
      <c r="U173" s="186" t="s">
        <v>16</v>
      </c>
    </row>
    <row r="174" spans="1:21" s="37" customFormat="1" ht="12.6" customHeight="1">
      <c r="A174" s="213" t="s">
        <v>741</v>
      </c>
      <c r="B174" s="213" t="s">
        <v>742</v>
      </c>
      <c r="C174" s="142">
        <v>55</v>
      </c>
      <c r="D174" s="142">
        <v>1.2</v>
      </c>
      <c r="E174" s="141">
        <f t="shared" si="2"/>
        <v>88</v>
      </c>
      <c r="F174" s="214" t="s">
        <v>31</v>
      </c>
      <c r="G174" s="215" t="s">
        <v>16</v>
      </c>
      <c r="H174" s="216" t="s">
        <v>16</v>
      </c>
      <c r="I174" s="141" t="s">
        <v>16</v>
      </c>
      <c r="J174" s="141" t="s">
        <v>16</v>
      </c>
      <c r="K174" s="141" t="s">
        <v>16</v>
      </c>
      <c r="L174" s="203">
        <f>AVERAGE(531)</f>
        <v>531</v>
      </c>
      <c r="M174" s="280" t="s">
        <v>745</v>
      </c>
      <c r="N174" s="203">
        <f>AVERAGE(670)</f>
        <v>670</v>
      </c>
      <c r="O174" s="280" t="s">
        <v>765</v>
      </c>
      <c r="P174" s="141" t="s">
        <v>16</v>
      </c>
      <c r="Q174" s="160" t="s">
        <v>16</v>
      </c>
      <c r="R174" s="141" t="s">
        <v>16</v>
      </c>
      <c r="S174" s="203" t="s">
        <v>16</v>
      </c>
      <c r="T174" s="160" t="s">
        <v>16</v>
      </c>
      <c r="U174" s="186" t="s">
        <v>16</v>
      </c>
    </row>
    <row r="175" spans="1:21" s="37" customFormat="1" ht="12.6" customHeight="1">
      <c r="A175" s="205" t="s">
        <v>178</v>
      </c>
      <c r="B175" s="205" t="s">
        <v>140</v>
      </c>
      <c r="C175" s="211">
        <v>60</v>
      </c>
      <c r="D175" s="211">
        <v>2.8</v>
      </c>
      <c r="E175" s="172">
        <f t="shared" si="2"/>
        <v>96</v>
      </c>
      <c r="F175" s="212" t="s">
        <v>31</v>
      </c>
      <c r="G175" s="195" t="s">
        <v>16</v>
      </c>
      <c r="H175" s="176" t="s">
        <v>16</v>
      </c>
      <c r="I175" s="172" t="s">
        <v>16</v>
      </c>
      <c r="J175" s="172" t="s">
        <v>16</v>
      </c>
      <c r="K175" s="172" t="s">
        <v>16</v>
      </c>
      <c r="L175" s="197">
        <f>AVERAGE(250,224,188,175,274,228)</f>
        <v>223.16666666666666</v>
      </c>
      <c r="M175" s="279" t="s">
        <v>1092</v>
      </c>
      <c r="N175" s="197">
        <f>AVERAGE(425,299,332,315,301)</f>
        <v>334.4</v>
      </c>
      <c r="O175" s="279" t="s">
        <v>793</v>
      </c>
      <c r="P175" s="172" t="s">
        <v>16</v>
      </c>
      <c r="Q175" s="206" t="s">
        <v>16</v>
      </c>
      <c r="R175" s="172" t="s">
        <v>16</v>
      </c>
      <c r="S175" s="197" t="s">
        <v>16</v>
      </c>
      <c r="T175" s="206" t="s">
        <v>16</v>
      </c>
      <c r="U175" s="188" t="s">
        <v>16</v>
      </c>
    </row>
    <row r="176" spans="1:21" s="37" customFormat="1" ht="12.6" customHeight="1">
      <c r="A176" s="213" t="s">
        <v>829</v>
      </c>
      <c r="B176" s="213" t="s">
        <v>833</v>
      </c>
      <c r="C176" s="142">
        <v>85</v>
      </c>
      <c r="D176" s="142">
        <v>1.4</v>
      </c>
      <c r="E176" s="141">
        <f t="shared" si="2"/>
        <v>136</v>
      </c>
      <c r="F176" s="202" t="s">
        <v>31</v>
      </c>
      <c r="G176" s="215">
        <f>3.5*0.3048</f>
        <v>1.0668</v>
      </c>
      <c r="H176" s="216">
        <v>0.71</v>
      </c>
      <c r="I176" s="141">
        <v>67.5</v>
      </c>
      <c r="J176" s="141" t="s">
        <v>16</v>
      </c>
      <c r="K176" s="141">
        <v>67</v>
      </c>
      <c r="L176" s="203">
        <f t="shared" ref="L176:L180" si="4">AVERAGE(0)</f>
        <v>0</v>
      </c>
      <c r="M176" s="280" t="s">
        <v>16</v>
      </c>
      <c r="N176" s="203">
        <f t="shared" ref="N176:N179" si="5">AVERAGE(0)</f>
        <v>0</v>
      </c>
      <c r="O176" s="280" t="s">
        <v>16</v>
      </c>
      <c r="P176" s="141" t="s">
        <v>16</v>
      </c>
      <c r="Q176" s="160" t="s">
        <v>16</v>
      </c>
      <c r="R176" s="141" t="s">
        <v>16</v>
      </c>
      <c r="S176" s="203" t="s">
        <v>16</v>
      </c>
      <c r="T176" s="160" t="s">
        <v>16</v>
      </c>
      <c r="U176" s="186" t="s">
        <v>16</v>
      </c>
    </row>
    <row r="177" spans="1:23" s="37" customFormat="1" ht="12.6" customHeight="1">
      <c r="A177" s="213" t="s">
        <v>829</v>
      </c>
      <c r="B177" s="213" t="s">
        <v>830</v>
      </c>
      <c r="C177" s="142">
        <v>100</v>
      </c>
      <c r="D177" s="142">
        <v>1.8</v>
      </c>
      <c r="E177" s="141">
        <f t="shared" si="2"/>
        <v>160</v>
      </c>
      <c r="F177" s="202" t="s">
        <v>31</v>
      </c>
      <c r="G177" s="215">
        <v>1.4</v>
      </c>
      <c r="H177" s="216">
        <v>0.39700000000000002</v>
      </c>
      <c r="I177" s="141">
        <v>78</v>
      </c>
      <c r="J177" s="141" t="s">
        <v>16</v>
      </c>
      <c r="K177" s="141">
        <v>62</v>
      </c>
      <c r="L177" s="203">
        <f>AVERAGE(281,322,324)</f>
        <v>309</v>
      </c>
      <c r="M177" s="280" t="s">
        <v>881</v>
      </c>
      <c r="N177" s="203">
        <f>AVERAGE(680,650)</f>
        <v>665</v>
      </c>
      <c r="O177" s="280" t="s">
        <v>863</v>
      </c>
      <c r="P177" s="141" t="s">
        <v>16</v>
      </c>
      <c r="Q177" s="160" t="s">
        <v>16</v>
      </c>
      <c r="R177" s="141" t="s">
        <v>16</v>
      </c>
      <c r="S177" s="203" t="s">
        <v>16</v>
      </c>
      <c r="T177" s="160" t="s">
        <v>16</v>
      </c>
      <c r="U177" s="186" t="s">
        <v>16</v>
      </c>
    </row>
    <row r="178" spans="1:23" s="37" customFormat="1" ht="12.6" customHeight="1">
      <c r="A178" s="213" t="s">
        <v>829</v>
      </c>
      <c r="B178" s="213" t="s">
        <v>832</v>
      </c>
      <c r="C178" s="142">
        <v>105</v>
      </c>
      <c r="D178" s="142">
        <v>2</v>
      </c>
      <c r="E178" s="141">
        <f t="shared" si="2"/>
        <v>168</v>
      </c>
      <c r="F178" s="202" t="s">
        <v>31</v>
      </c>
      <c r="G178" s="215">
        <v>1.5</v>
      </c>
      <c r="H178" s="216">
        <v>0.39700000000000002</v>
      </c>
      <c r="I178" s="141">
        <v>78.5</v>
      </c>
      <c r="J178" s="141" t="s">
        <v>16</v>
      </c>
      <c r="K178" s="141">
        <v>58</v>
      </c>
      <c r="L178" s="203">
        <f t="shared" si="4"/>
        <v>0</v>
      </c>
      <c r="M178" s="280" t="s">
        <v>16</v>
      </c>
      <c r="N178" s="203">
        <f>AVERAGE(299)</f>
        <v>299</v>
      </c>
      <c r="O178" s="280" t="s">
        <v>862</v>
      </c>
      <c r="P178" s="141" t="s">
        <v>16</v>
      </c>
      <c r="Q178" s="160" t="s">
        <v>16</v>
      </c>
      <c r="R178" s="141" t="s">
        <v>16</v>
      </c>
      <c r="S178" s="203" t="s">
        <v>16</v>
      </c>
      <c r="T178" s="160" t="s">
        <v>16</v>
      </c>
      <c r="U178" s="186" t="s">
        <v>16</v>
      </c>
    </row>
    <row r="179" spans="1:23" s="37" customFormat="1" ht="12.6" customHeight="1">
      <c r="A179" s="213" t="s">
        <v>829</v>
      </c>
      <c r="B179" s="213" t="s">
        <v>831</v>
      </c>
      <c r="C179" s="142">
        <v>105</v>
      </c>
      <c r="D179" s="142">
        <v>2.5</v>
      </c>
      <c r="E179" s="141">
        <f t="shared" si="2"/>
        <v>168</v>
      </c>
      <c r="F179" s="202" t="s">
        <v>31</v>
      </c>
      <c r="G179" s="215">
        <f>3.5*0.3048</f>
        <v>1.0668</v>
      </c>
      <c r="H179" s="216">
        <v>0.311</v>
      </c>
      <c r="I179" s="141">
        <v>86</v>
      </c>
      <c r="J179" s="141" t="s">
        <v>16</v>
      </c>
      <c r="K179" s="141">
        <v>48</v>
      </c>
      <c r="L179" s="203">
        <f t="shared" si="4"/>
        <v>0</v>
      </c>
      <c r="M179" s="280" t="s">
        <v>16</v>
      </c>
      <c r="N179" s="203">
        <f t="shared" si="5"/>
        <v>0</v>
      </c>
      <c r="O179" s="280" t="s">
        <v>16</v>
      </c>
      <c r="P179" s="141" t="s">
        <v>16</v>
      </c>
      <c r="Q179" s="160" t="s">
        <v>16</v>
      </c>
      <c r="R179" s="141" t="s">
        <v>16</v>
      </c>
      <c r="S179" s="203" t="s">
        <v>16</v>
      </c>
      <c r="T179" s="160" t="s">
        <v>16</v>
      </c>
      <c r="U179" s="186" t="s">
        <v>16</v>
      </c>
    </row>
    <row r="180" spans="1:23" ht="12.6" customHeight="1">
      <c r="A180" s="205" t="s">
        <v>829</v>
      </c>
      <c r="B180" s="205" t="s">
        <v>834</v>
      </c>
      <c r="C180" s="172">
        <v>135</v>
      </c>
      <c r="D180" s="172">
        <v>2</v>
      </c>
      <c r="E180" s="172">
        <f t="shared" si="2"/>
        <v>216</v>
      </c>
      <c r="F180" s="196" t="s">
        <v>31</v>
      </c>
      <c r="G180" s="195">
        <f>5*0.3048</f>
        <v>1.524</v>
      </c>
      <c r="H180" s="176">
        <v>0.91</v>
      </c>
      <c r="I180" s="172">
        <v>115</v>
      </c>
      <c r="J180" s="172" t="s">
        <v>16</v>
      </c>
      <c r="K180" s="188">
        <v>72</v>
      </c>
      <c r="L180" s="197">
        <f t="shared" si="4"/>
        <v>0</v>
      </c>
      <c r="M180" s="279" t="s">
        <v>16</v>
      </c>
      <c r="N180" s="197">
        <f>AVERAGE(709)</f>
        <v>709</v>
      </c>
      <c r="O180" s="172" t="s">
        <v>881</v>
      </c>
      <c r="P180" s="197" t="s">
        <v>16</v>
      </c>
      <c r="Q180" s="172" t="s">
        <v>16</v>
      </c>
      <c r="R180" s="188" t="s">
        <v>16</v>
      </c>
      <c r="S180" s="197" t="s">
        <v>16</v>
      </c>
      <c r="T180" s="172" t="s">
        <v>16</v>
      </c>
      <c r="U180" s="188" t="s">
        <v>16</v>
      </c>
      <c r="V180" s="16"/>
      <c r="W180" s="16"/>
    </row>
    <row r="181" spans="1:23" ht="12.6" customHeight="1">
      <c r="A181" s="205" t="s">
        <v>216</v>
      </c>
      <c r="B181" s="205" t="s">
        <v>598</v>
      </c>
      <c r="C181" s="172">
        <v>21</v>
      </c>
      <c r="D181" s="211">
        <v>4</v>
      </c>
      <c r="E181" s="172">
        <f t="shared" si="2"/>
        <v>33.6</v>
      </c>
      <c r="F181" s="207" t="s">
        <v>121</v>
      </c>
      <c r="G181" s="195">
        <v>0.45</v>
      </c>
      <c r="H181" s="176">
        <v>0.22</v>
      </c>
      <c r="I181" s="172">
        <v>49</v>
      </c>
      <c r="J181" s="172">
        <v>62</v>
      </c>
      <c r="K181" s="188">
        <v>58</v>
      </c>
      <c r="L181" s="191">
        <f>AVERAGE(129,140,159,108,160,139)</f>
        <v>139.16666666666666</v>
      </c>
      <c r="M181" s="188" t="s">
        <v>999</v>
      </c>
      <c r="N181" s="172">
        <f>AVERAGE(250,185)</f>
        <v>217.5</v>
      </c>
      <c r="O181" s="172" t="s">
        <v>696</v>
      </c>
      <c r="P181" s="191" t="s">
        <v>16</v>
      </c>
      <c r="Q181" s="179" t="s">
        <v>16</v>
      </c>
      <c r="R181" s="198" t="s">
        <v>16</v>
      </c>
      <c r="S181" s="299" t="s">
        <v>16</v>
      </c>
      <c r="T181" s="179" t="s">
        <v>16</v>
      </c>
      <c r="U181" s="198" t="s">
        <v>16</v>
      </c>
    </row>
    <row r="182" spans="1:23" s="37" customFormat="1" ht="12.6" customHeight="1">
      <c r="A182" s="213" t="s">
        <v>216</v>
      </c>
      <c r="B182" s="213" t="s">
        <v>603</v>
      </c>
      <c r="C182" s="142">
        <v>35</v>
      </c>
      <c r="D182" s="142">
        <v>2.8</v>
      </c>
      <c r="E182" s="141">
        <f t="shared" si="2"/>
        <v>56</v>
      </c>
      <c r="F182" s="214" t="s">
        <v>121</v>
      </c>
      <c r="G182" s="215">
        <v>0.4</v>
      </c>
      <c r="H182" s="216">
        <v>0.21</v>
      </c>
      <c r="I182" s="141" t="s">
        <v>16</v>
      </c>
      <c r="J182" s="141" t="s">
        <v>16</v>
      </c>
      <c r="K182" s="141">
        <v>52</v>
      </c>
      <c r="L182" s="203">
        <f>AVERAGE(86,82,65)</f>
        <v>77.666666666666671</v>
      </c>
      <c r="M182" s="280" t="s">
        <v>604</v>
      </c>
      <c r="N182" s="203">
        <f t="shared" ref="N182:N185" si="6">AVERAGE(0)</f>
        <v>0</v>
      </c>
      <c r="O182" s="280" t="s">
        <v>16</v>
      </c>
      <c r="P182" s="141" t="s">
        <v>16</v>
      </c>
      <c r="Q182" s="160" t="s">
        <v>16</v>
      </c>
      <c r="R182" s="141" t="s">
        <v>16</v>
      </c>
      <c r="S182" s="203" t="s">
        <v>16</v>
      </c>
      <c r="T182" s="160" t="s">
        <v>16</v>
      </c>
      <c r="U182" s="186" t="s">
        <v>16</v>
      </c>
    </row>
    <row r="183" spans="1:23" s="37" customFormat="1" ht="12.6" customHeight="1">
      <c r="A183" s="213" t="s">
        <v>216</v>
      </c>
      <c r="B183" s="213" t="s">
        <v>599</v>
      </c>
      <c r="C183" s="142">
        <v>50</v>
      </c>
      <c r="D183" s="142">
        <v>1.4</v>
      </c>
      <c r="E183" s="141">
        <f t="shared" si="2"/>
        <v>80</v>
      </c>
      <c r="F183" s="214" t="s">
        <v>121</v>
      </c>
      <c r="G183" s="215">
        <v>0.45</v>
      </c>
      <c r="H183" s="216">
        <v>0.20499999999999999</v>
      </c>
      <c r="I183" s="141" t="s">
        <v>16</v>
      </c>
      <c r="J183" s="141" t="s">
        <v>16</v>
      </c>
      <c r="K183" s="141">
        <v>49</v>
      </c>
      <c r="L183" s="203">
        <f>AVERAGE(103,108,110)</f>
        <v>107</v>
      </c>
      <c r="M183" s="280" t="s">
        <v>881</v>
      </c>
      <c r="N183" s="203">
        <f t="shared" si="6"/>
        <v>0</v>
      </c>
      <c r="O183" s="280" t="s">
        <v>16</v>
      </c>
      <c r="P183" s="141" t="s">
        <v>16</v>
      </c>
      <c r="Q183" s="160" t="s">
        <v>16</v>
      </c>
      <c r="R183" s="141" t="s">
        <v>16</v>
      </c>
      <c r="S183" s="203" t="s">
        <v>16</v>
      </c>
      <c r="T183" s="160" t="s">
        <v>16</v>
      </c>
      <c r="U183" s="186" t="s">
        <v>16</v>
      </c>
    </row>
    <row r="184" spans="1:23" ht="12.6" customHeight="1">
      <c r="A184" s="205" t="s">
        <v>216</v>
      </c>
      <c r="B184" s="205" t="s">
        <v>535</v>
      </c>
      <c r="C184" s="172">
        <v>60</v>
      </c>
      <c r="D184" s="211">
        <v>2.8</v>
      </c>
      <c r="E184" s="172">
        <f t="shared" si="2"/>
        <v>96</v>
      </c>
      <c r="F184" s="207" t="s">
        <v>121</v>
      </c>
      <c r="G184" s="195">
        <v>0.23499999999999999</v>
      </c>
      <c r="H184" s="176">
        <v>0.39500000000000002</v>
      </c>
      <c r="I184" s="172">
        <v>66.349999999999994</v>
      </c>
      <c r="J184" s="172">
        <v>66.400000000000006</v>
      </c>
      <c r="K184" s="188">
        <v>58</v>
      </c>
      <c r="L184" s="191">
        <f>AVERAGE(210,124,177,244,185,125,240,215,200,183)</f>
        <v>190.3</v>
      </c>
      <c r="M184" s="188" t="s">
        <v>1092</v>
      </c>
      <c r="N184" s="172">
        <f>AVERAGE(299,200,280,273)</f>
        <v>263</v>
      </c>
      <c r="O184" s="172" t="s">
        <v>745</v>
      </c>
      <c r="P184" s="191">
        <v>204</v>
      </c>
      <c r="Q184" s="179" t="s">
        <v>637</v>
      </c>
      <c r="R184" s="198" t="s">
        <v>33</v>
      </c>
      <c r="S184" s="299" t="s">
        <v>16</v>
      </c>
      <c r="T184" s="179" t="s">
        <v>16</v>
      </c>
      <c r="U184" s="198" t="s">
        <v>16</v>
      </c>
    </row>
    <row r="185" spans="1:23" ht="12.6" customHeight="1">
      <c r="A185" s="205" t="s">
        <v>216</v>
      </c>
      <c r="B185" s="205" t="s">
        <v>600</v>
      </c>
      <c r="C185" s="172">
        <v>85</v>
      </c>
      <c r="D185" s="211">
        <v>1.7</v>
      </c>
      <c r="E185" s="172">
        <f t="shared" si="2"/>
        <v>136</v>
      </c>
      <c r="F185" s="207" t="s">
        <v>121</v>
      </c>
      <c r="G185" s="195">
        <v>0.9</v>
      </c>
      <c r="H185" s="176">
        <v>0.5</v>
      </c>
      <c r="I185" s="172" t="s">
        <v>16</v>
      </c>
      <c r="J185" s="172" t="s">
        <v>16</v>
      </c>
      <c r="K185" s="172">
        <v>58</v>
      </c>
      <c r="L185" s="197">
        <f t="shared" ref="L185" si="7">AVERAGE(0)</f>
        <v>0</v>
      </c>
      <c r="M185" s="279" t="s">
        <v>16</v>
      </c>
      <c r="N185" s="197">
        <f t="shared" si="6"/>
        <v>0</v>
      </c>
      <c r="O185" s="188" t="s">
        <v>16</v>
      </c>
      <c r="P185" s="172" t="s">
        <v>16</v>
      </c>
      <c r="Q185" s="172" t="s">
        <v>16</v>
      </c>
      <c r="R185" s="188" t="s">
        <v>16</v>
      </c>
      <c r="S185" s="197" t="s">
        <v>16</v>
      </c>
      <c r="T185" s="172" t="s">
        <v>16</v>
      </c>
      <c r="U185" s="188" t="s">
        <v>16</v>
      </c>
    </row>
    <row r="186" spans="1:23" ht="12.6" customHeight="1">
      <c r="A186" s="205" t="s">
        <v>142</v>
      </c>
      <c r="B186" s="205" t="s">
        <v>339</v>
      </c>
      <c r="C186" s="172">
        <v>16</v>
      </c>
      <c r="D186" s="211">
        <v>2.8</v>
      </c>
      <c r="E186" s="172">
        <f t="shared" ref="E186" si="8">C186*1.6</f>
        <v>25.6</v>
      </c>
      <c r="F186" s="207" t="s">
        <v>31</v>
      </c>
      <c r="G186" s="195">
        <v>0.3</v>
      </c>
      <c r="H186" s="176">
        <v>0.31</v>
      </c>
      <c r="I186" s="172">
        <v>49</v>
      </c>
      <c r="J186" s="172">
        <v>63</v>
      </c>
      <c r="K186" s="188" t="s">
        <v>138</v>
      </c>
      <c r="L186" s="191">
        <f>AVERAGE(100,119,128,103,108,123,123)</f>
        <v>114.85714285714286</v>
      </c>
      <c r="M186" s="188" t="s">
        <v>881</v>
      </c>
      <c r="N186" s="172">
        <f>AVERAGE(165,168,150,175,143,184,184,174)</f>
        <v>167.875</v>
      </c>
      <c r="O186" s="172" t="s">
        <v>1001</v>
      </c>
      <c r="P186" s="191">
        <v>165</v>
      </c>
      <c r="Q186" s="179" t="s">
        <v>604</v>
      </c>
      <c r="R186" s="198" t="s">
        <v>30</v>
      </c>
      <c r="S186" s="299">
        <v>175</v>
      </c>
      <c r="T186" s="179" t="s">
        <v>821</v>
      </c>
      <c r="U186" s="198" t="s">
        <v>30</v>
      </c>
    </row>
  </sheetData>
  <sheetProtection password="990B" sheet="1" objects="1" scenarios="1"/>
  <phoneticPr fontId="0" type="noConversion"/>
  <conditionalFormatting sqref="O57:O60 O43:O52 M43:M52 O152:O153 M57:M58 O62 M132 M138 O166 M166 O183 M183 O138 M23 M54 O54 O64:O67 M177 O177 M124:M126 O124:O126 M135 M105:M112 O105:O112 O91:O92 M91:M92 M70:M72 O70:O72 M95:M102 O95:O102 M144 O144 O114 M114 O132 O140:O141 M140:M141 M26 M60:M62 M30:M41 M64:M67 O135 O29:O41 O88 M88 M155 O155 M174:M175 M146:M152 O147:O149 O83 M83 O23 M1:M6 O1:O6 O8:O14 M8:M14 M16:M21 O16:O21 O25:O26 M79:M81 O79:O81 O186:O65568 O157:O158 M186:M65568 M157:M158 O74:O76 M74:M76">
    <cfRule type="cellIs" dxfId="280" priority="219" stopIfTrue="1" operator="lessThan">
      <formula>".08-09"</formula>
    </cfRule>
  </conditionalFormatting>
  <conditionalFormatting sqref="Q55 O55 T55 M55">
    <cfRule type="cellIs" dxfId="279" priority="220" stopIfTrue="1" operator="lessThan">
      <formula>".07-06"</formula>
    </cfRule>
  </conditionalFormatting>
  <conditionalFormatting sqref="O42">
    <cfRule type="cellIs" dxfId="278" priority="216" stopIfTrue="1" operator="lessThan">
      <formula>".08-09"</formula>
    </cfRule>
  </conditionalFormatting>
  <conditionalFormatting sqref="M125 O125">
    <cfRule type="cellIs" dxfId="277" priority="214" stopIfTrue="1" operator="lessThan">
      <formula>".08-09"</formula>
    </cfRule>
  </conditionalFormatting>
  <conditionalFormatting sqref="O137 M137">
    <cfRule type="cellIs" dxfId="276" priority="210" stopIfTrue="1" operator="lessThan">
      <formula>".08-09"</formula>
    </cfRule>
  </conditionalFormatting>
  <conditionalFormatting sqref="O131 M131">
    <cfRule type="cellIs" dxfId="275" priority="212" stopIfTrue="1" operator="lessThan">
      <formula>".08-09"</formula>
    </cfRule>
  </conditionalFormatting>
  <conditionalFormatting sqref="O137 M137">
    <cfRule type="cellIs" dxfId="274" priority="211" stopIfTrue="1" operator="lessThan">
      <formula>".08-09"</formula>
    </cfRule>
  </conditionalFormatting>
  <conditionalFormatting sqref="O104 M104">
    <cfRule type="cellIs" dxfId="273" priority="207" stopIfTrue="1" operator="lessThan">
      <formula>".08-09"</formula>
    </cfRule>
  </conditionalFormatting>
  <conditionalFormatting sqref="M171">
    <cfRule type="cellIs" dxfId="272" priority="206" stopIfTrue="1" operator="lessThan">
      <formula>".08-09"</formula>
    </cfRule>
  </conditionalFormatting>
  <conditionalFormatting sqref="M84 O84">
    <cfRule type="cellIs" dxfId="271" priority="205" stopIfTrue="1" operator="lessThan">
      <formula>".08-09"</formula>
    </cfRule>
  </conditionalFormatting>
  <conditionalFormatting sqref="O172 M172">
    <cfRule type="cellIs" dxfId="270" priority="200" stopIfTrue="1" operator="lessThan">
      <formula>".08-09"</formula>
    </cfRule>
  </conditionalFormatting>
  <conditionalFormatting sqref="O116 M116">
    <cfRule type="cellIs" dxfId="269" priority="201" stopIfTrue="1" operator="lessThan">
      <formula>".08-09"</formula>
    </cfRule>
  </conditionalFormatting>
  <conditionalFormatting sqref="M162 M164">
    <cfRule type="cellIs" dxfId="268" priority="198" stopIfTrue="1" operator="lessThan">
      <formula>".08-09"</formula>
    </cfRule>
  </conditionalFormatting>
  <conditionalFormatting sqref="O185">
    <cfRule type="cellIs" dxfId="267" priority="197" stopIfTrue="1" operator="lessThan">
      <formula>".08-09"</formula>
    </cfRule>
  </conditionalFormatting>
  <conditionalFormatting sqref="M163">
    <cfRule type="cellIs" dxfId="266" priority="195" stopIfTrue="1" operator="lessThan">
      <formula>".08-09"</formula>
    </cfRule>
  </conditionalFormatting>
  <conditionalFormatting sqref="O182 M182">
    <cfRule type="cellIs" dxfId="265" priority="194" stopIfTrue="1" operator="lessThan">
      <formula>".08-09"</formula>
    </cfRule>
  </conditionalFormatting>
  <conditionalFormatting sqref="M15 O15">
    <cfRule type="cellIs" dxfId="264" priority="191" stopIfTrue="1" operator="lessThan">
      <formula>".08-09"</formula>
    </cfRule>
  </conditionalFormatting>
  <conditionalFormatting sqref="M25">
    <cfRule type="cellIs" dxfId="263" priority="180" stopIfTrue="1" operator="lessThan">
      <formula>".08-09"</formula>
    </cfRule>
  </conditionalFormatting>
  <conditionalFormatting sqref="M63">
    <cfRule type="cellIs" dxfId="262" priority="177" stopIfTrue="1" operator="lessThan">
      <formula>".08-09"</formula>
    </cfRule>
  </conditionalFormatting>
  <conditionalFormatting sqref="M53">
    <cfRule type="cellIs" dxfId="261" priority="179" stopIfTrue="1" operator="lessThan">
      <formula>".08-09"</formula>
    </cfRule>
  </conditionalFormatting>
  <conditionalFormatting sqref="O53">
    <cfRule type="cellIs" dxfId="260" priority="176" stopIfTrue="1" operator="lessThan">
      <formula>".08-09"</formula>
    </cfRule>
  </conditionalFormatting>
  <conditionalFormatting sqref="O63">
    <cfRule type="cellIs" dxfId="259" priority="175" stopIfTrue="1" operator="lessThan">
      <formula>".08-09"</formula>
    </cfRule>
  </conditionalFormatting>
  <conditionalFormatting sqref="M115">
    <cfRule type="cellIs" dxfId="258" priority="171" stopIfTrue="1" operator="lessThan">
      <formula>".08-09"</formula>
    </cfRule>
  </conditionalFormatting>
  <conditionalFormatting sqref="O115">
    <cfRule type="cellIs" dxfId="257" priority="170" stopIfTrue="1" operator="lessThan">
      <formula>".08-09"</formula>
    </cfRule>
  </conditionalFormatting>
  <conditionalFormatting sqref="O150:O151">
    <cfRule type="cellIs" dxfId="256" priority="168" stopIfTrue="1" operator="lessThan">
      <formula>".08-09"</formula>
    </cfRule>
  </conditionalFormatting>
  <conditionalFormatting sqref="O142 M142">
    <cfRule type="cellIs" dxfId="255" priority="165" stopIfTrue="1" operator="lessThan">
      <formula>".08-09"</formula>
    </cfRule>
  </conditionalFormatting>
  <conditionalFormatting sqref="O142 M142">
    <cfRule type="cellIs" dxfId="254" priority="166" stopIfTrue="1" operator="lessThan">
      <formula>".08-09"</formula>
    </cfRule>
  </conditionalFormatting>
  <conditionalFormatting sqref="O176">
    <cfRule type="cellIs" dxfId="253" priority="164" stopIfTrue="1" operator="lessThan">
      <formula>".08-09"</formula>
    </cfRule>
  </conditionalFormatting>
  <conditionalFormatting sqref="M24 O24">
    <cfRule type="cellIs" dxfId="252" priority="163" stopIfTrue="1" operator="lessThan">
      <formula>".08-09"</formula>
    </cfRule>
  </conditionalFormatting>
  <conditionalFormatting sqref="M176">
    <cfRule type="cellIs" dxfId="251" priority="162" stopIfTrue="1" operator="lessThan">
      <formula>".08-09"</formula>
    </cfRule>
  </conditionalFormatting>
  <conditionalFormatting sqref="O161 M161">
    <cfRule type="cellIs" dxfId="250" priority="159" stopIfTrue="1" operator="lessThan">
      <formula>".08-09"</formula>
    </cfRule>
  </conditionalFormatting>
  <conditionalFormatting sqref="O160">
    <cfRule type="cellIs" dxfId="249" priority="158" stopIfTrue="1" operator="lessThan">
      <formula>".08-09"</formula>
    </cfRule>
  </conditionalFormatting>
  <conditionalFormatting sqref="M160">
    <cfRule type="cellIs" dxfId="248" priority="157" stopIfTrue="1" operator="lessThan">
      <formula>".08-09"</formula>
    </cfRule>
  </conditionalFormatting>
  <conditionalFormatting sqref="M153">
    <cfRule type="cellIs" dxfId="247" priority="156" stopIfTrue="1" operator="lessThan">
      <formula>".08-09"</formula>
    </cfRule>
  </conditionalFormatting>
  <conditionalFormatting sqref="M89 O89">
    <cfRule type="cellIs" dxfId="246" priority="155" stopIfTrue="1" operator="lessThan">
      <formula>".08-09"</formula>
    </cfRule>
  </conditionalFormatting>
  <conditionalFormatting sqref="O174">
    <cfRule type="cellIs" dxfId="245" priority="153" stopIfTrue="1" operator="lessThan">
      <formula>".08-09"</formula>
    </cfRule>
  </conditionalFormatting>
  <conditionalFormatting sqref="M185">
    <cfRule type="cellIs" dxfId="244" priority="143" stopIfTrue="1" operator="lessThan">
      <formula>".08-09"</formula>
    </cfRule>
  </conditionalFormatting>
  <conditionalFormatting sqref="M173">
    <cfRule type="cellIs" dxfId="243" priority="132" stopIfTrue="1" operator="lessThan">
      <formula>".08-09"</formula>
    </cfRule>
  </conditionalFormatting>
  <conditionalFormatting sqref="O173">
    <cfRule type="cellIs" dxfId="242" priority="131" stopIfTrue="1" operator="lessThan">
      <formula>".08-09"</formula>
    </cfRule>
  </conditionalFormatting>
  <conditionalFormatting sqref="O103 M103">
    <cfRule type="cellIs" dxfId="241" priority="130" stopIfTrue="1" operator="lessThan">
      <formula>".08-09"</formula>
    </cfRule>
  </conditionalFormatting>
  <conditionalFormatting sqref="O68:O69 M68:M69">
    <cfRule type="cellIs" dxfId="240" priority="126" stopIfTrue="1" operator="lessThan">
      <formula>".08-09"</formula>
    </cfRule>
  </conditionalFormatting>
  <conditionalFormatting sqref="M165">
    <cfRule type="cellIs" dxfId="239" priority="125" stopIfTrue="1" operator="lessThan">
      <formula>".08-09"</formula>
    </cfRule>
  </conditionalFormatting>
  <conditionalFormatting sqref="O175">
    <cfRule type="cellIs" dxfId="238" priority="124" stopIfTrue="1" operator="lessThan">
      <formula>".08-09"</formula>
    </cfRule>
  </conditionalFormatting>
  <conditionalFormatting sqref="O93:O94 M93:M94">
    <cfRule type="cellIs" dxfId="237" priority="123" stopIfTrue="1" operator="lessThan">
      <formula>".08-09"</formula>
    </cfRule>
  </conditionalFormatting>
  <conditionalFormatting sqref="O128 M128">
    <cfRule type="cellIs" dxfId="236" priority="109" stopIfTrue="1" operator="lessThan">
      <formula>".08-09"</formula>
    </cfRule>
  </conditionalFormatting>
  <conditionalFormatting sqref="O113 M113">
    <cfRule type="cellIs" dxfId="235" priority="110" stopIfTrue="1" operator="lessThan">
      <formula>".08-09"</formula>
    </cfRule>
  </conditionalFormatting>
  <conditionalFormatting sqref="O117 M117">
    <cfRule type="cellIs" dxfId="234" priority="114" stopIfTrue="1" operator="lessThan">
      <formula>".08-09"</formula>
    </cfRule>
  </conditionalFormatting>
  <conditionalFormatting sqref="O120">
    <cfRule type="cellIs" dxfId="233" priority="112" stopIfTrue="1" operator="lessThan">
      <formula>".08-09"</formula>
    </cfRule>
  </conditionalFormatting>
  <conditionalFormatting sqref="M120">
    <cfRule type="cellIs" dxfId="232" priority="111" stopIfTrue="1" operator="lessThan">
      <formula>".08-09"</formula>
    </cfRule>
  </conditionalFormatting>
  <conditionalFormatting sqref="O159 M159">
    <cfRule type="cellIs" dxfId="231" priority="107" stopIfTrue="1" operator="lessThan">
      <formula>".08-09"</formula>
    </cfRule>
  </conditionalFormatting>
  <conditionalFormatting sqref="M154 O154">
    <cfRule type="cellIs" dxfId="230" priority="103" stopIfTrue="1" operator="lessThan">
      <formula>".08-09"</formula>
    </cfRule>
  </conditionalFormatting>
  <conditionalFormatting sqref="M56 O56">
    <cfRule type="cellIs" dxfId="229" priority="102" stopIfTrue="1" operator="lessThan">
      <formula>".08-09"</formula>
    </cfRule>
  </conditionalFormatting>
  <conditionalFormatting sqref="M170">
    <cfRule type="cellIs" dxfId="228" priority="101" stopIfTrue="1" operator="lessThan">
      <formula>".08-09"</formula>
    </cfRule>
  </conditionalFormatting>
  <conditionalFormatting sqref="M59">
    <cfRule type="cellIs" dxfId="227" priority="99" stopIfTrue="1" operator="lessThan">
      <formula>".08-09"</formula>
    </cfRule>
  </conditionalFormatting>
  <conditionalFormatting sqref="M29">
    <cfRule type="cellIs" dxfId="226" priority="98" stopIfTrue="1" operator="lessThan">
      <formula>".08-09"</formula>
    </cfRule>
  </conditionalFormatting>
  <conditionalFormatting sqref="O171">
    <cfRule type="cellIs" dxfId="225" priority="96" stopIfTrue="1" operator="lessThan">
      <formula>".08-09"</formula>
    </cfRule>
  </conditionalFormatting>
  <conditionalFormatting sqref="O170">
    <cfRule type="cellIs" dxfId="224" priority="95" stopIfTrue="1" operator="lessThan">
      <formula>".08-09"</formula>
    </cfRule>
  </conditionalFormatting>
  <conditionalFormatting sqref="O127 M127">
    <cfRule type="cellIs" dxfId="223" priority="92" stopIfTrue="1" operator="lessThan">
      <formula>".08-09"</formula>
    </cfRule>
  </conditionalFormatting>
  <conditionalFormatting sqref="M127 O127">
    <cfRule type="cellIs" dxfId="222" priority="91" stopIfTrue="1" operator="lessThan">
      <formula>".08-09"</formula>
    </cfRule>
  </conditionalFormatting>
  <conditionalFormatting sqref="O128 M128">
    <cfRule type="cellIs" dxfId="221" priority="90" stopIfTrue="1" operator="lessThan">
      <formula>".08-09"</formula>
    </cfRule>
  </conditionalFormatting>
  <conditionalFormatting sqref="O86">
    <cfRule type="cellIs" dxfId="220" priority="81" stopIfTrue="1" operator="lessThan">
      <formula>".08-09"</formula>
    </cfRule>
  </conditionalFormatting>
  <conditionalFormatting sqref="M86">
    <cfRule type="cellIs" dxfId="219" priority="80" stopIfTrue="1" operator="lessThan">
      <formula>".08-09"</formula>
    </cfRule>
  </conditionalFormatting>
  <conditionalFormatting sqref="O85">
    <cfRule type="cellIs" dxfId="218" priority="79" stopIfTrue="1" operator="lessThan">
      <formula>".08-09"</formula>
    </cfRule>
  </conditionalFormatting>
  <conditionalFormatting sqref="M85">
    <cfRule type="cellIs" dxfId="217" priority="78" stopIfTrue="1" operator="lessThan">
      <formula>".08-09"</formula>
    </cfRule>
  </conditionalFormatting>
  <conditionalFormatting sqref="O156 M156">
    <cfRule type="cellIs" dxfId="216" priority="75" stopIfTrue="1" operator="lessThan">
      <formula>".08-09"</formula>
    </cfRule>
  </conditionalFormatting>
  <conditionalFormatting sqref="M156 O156">
    <cfRule type="cellIs" dxfId="215" priority="74" stopIfTrue="1" operator="lessThan">
      <formula>".08-09"</formula>
    </cfRule>
  </conditionalFormatting>
  <conditionalFormatting sqref="O158 M158">
    <cfRule type="cellIs" dxfId="214" priority="73" stopIfTrue="1" operator="lessThan">
      <formula>".08-09"</formula>
    </cfRule>
  </conditionalFormatting>
  <conditionalFormatting sqref="M168 O168">
    <cfRule type="cellIs" dxfId="213" priority="72" stopIfTrue="1" operator="lessThan">
      <formula>".08-09"</formula>
    </cfRule>
  </conditionalFormatting>
  <conditionalFormatting sqref="O169 M169">
    <cfRule type="cellIs" dxfId="212" priority="71" stopIfTrue="1" operator="lessThan">
      <formula>".08-09"</formula>
    </cfRule>
  </conditionalFormatting>
  <conditionalFormatting sqref="O167">
    <cfRule type="cellIs" dxfId="211" priority="70" stopIfTrue="1" operator="lessThan">
      <formula>".08-09"</formula>
    </cfRule>
  </conditionalFormatting>
  <conditionalFormatting sqref="M167">
    <cfRule type="cellIs" dxfId="210" priority="69" stopIfTrue="1" operator="lessThan">
      <formula>".08-09"</formula>
    </cfRule>
  </conditionalFormatting>
  <conditionalFormatting sqref="O180">
    <cfRule type="cellIs" dxfId="209" priority="68" stopIfTrue="1" operator="lessThan">
      <formula>".08-09"</formula>
    </cfRule>
  </conditionalFormatting>
  <conditionalFormatting sqref="M180">
    <cfRule type="cellIs" dxfId="208" priority="67" stopIfTrue="1" operator="lessThan">
      <formula>".08-09"</formula>
    </cfRule>
  </conditionalFormatting>
  <conditionalFormatting sqref="O179">
    <cfRule type="cellIs" dxfId="207" priority="66" stopIfTrue="1" operator="lessThan">
      <formula>".08-09"</formula>
    </cfRule>
  </conditionalFormatting>
  <conditionalFormatting sqref="M179">
    <cfRule type="cellIs" dxfId="206" priority="65" stopIfTrue="1" operator="lessThan">
      <formula>".08-09"</formula>
    </cfRule>
  </conditionalFormatting>
  <conditionalFormatting sqref="M179 O179">
    <cfRule type="cellIs" dxfId="205" priority="64" stopIfTrue="1" operator="lessThan">
      <formula>".08-09"</formula>
    </cfRule>
  </conditionalFormatting>
  <conditionalFormatting sqref="O180">
    <cfRule type="cellIs" dxfId="204" priority="63" stopIfTrue="1" operator="lessThan">
      <formula>".08-09"</formula>
    </cfRule>
  </conditionalFormatting>
  <conditionalFormatting sqref="M180">
    <cfRule type="cellIs" dxfId="203" priority="62" stopIfTrue="1" operator="lessThan">
      <formula>".08-09"</formula>
    </cfRule>
  </conditionalFormatting>
  <conditionalFormatting sqref="O178">
    <cfRule type="cellIs" dxfId="202" priority="61" stopIfTrue="1" operator="lessThan">
      <formula>".08-09"</formula>
    </cfRule>
  </conditionalFormatting>
  <conditionalFormatting sqref="M178">
    <cfRule type="cellIs" dxfId="201" priority="60" stopIfTrue="1" operator="lessThan">
      <formula>".08-09"</formula>
    </cfRule>
  </conditionalFormatting>
  <conditionalFormatting sqref="M178 O178">
    <cfRule type="cellIs" dxfId="200" priority="59" stopIfTrue="1" operator="lessThan">
      <formula>".08-09"</formula>
    </cfRule>
  </conditionalFormatting>
  <conditionalFormatting sqref="O28">
    <cfRule type="cellIs" dxfId="199" priority="58" stopIfTrue="1" operator="lessThan">
      <formula>".08-09"</formula>
    </cfRule>
  </conditionalFormatting>
  <conditionalFormatting sqref="M28">
    <cfRule type="cellIs" dxfId="198" priority="57" stopIfTrue="1" operator="lessThan">
      <formula>".08-09"</formula>
    </cfRule>
  </conditionalFormatting>
  <conditionalFormatting sqref="M129 O129">
    <cfRule type="cellIs" dxfId="197" priority="56" stopIfTrue="1" operator="lessThan">
      <formula>".08-09"</formula>
    </cfRule>
  </conditionalFormatting>
  <conditionalFormatting sqref="M139 O139">
    <cfRule type="cellIs" dxfId="196" priority="54" stopIfTrue="1" operator="lessThan">
      <formula>".08-09"</formula>
    </cfRule>
  </conditionalFormatting>
  <conditionalFormatting sqref="M145">
    <cfRule type="cellIs" dxfId="195" priority="53" stopIfTrue="1" operator="lessThan">
      <formula>".08-09"</formula>
    </cfRule>
  </conditionalFormatting>
  <conditionalFormatting sqref="O145">
    <cfRule type="cellIs" dxfId="194" priority="52" stopIfTrue="1" operator="lessThan">
      <formula>".08-09"</formula>
    </cfRule>
  </conditionalFormatting>
  <conditionalFormatting sqref="O146">
    <cfRule type="cellIs" dxfId="193" priority="51" stopIfTrue="1" operator="lessThan">
      <formula>".08-09"</formula>
    </cfRule>
  </conditionalFormatting>
  <conditionalFormatting sqref="M123 O123">
    <cfRule type="cellIs" dxfId="192" priority="49" stopIfTrue="1" operator="lessThan">
      <formula>".08-09"</formula>
    </cfRule>
  </conditionalFormatting>
  <conditionalFormatting sqref="O119">
    <cfRule type="cellIs" dxfId="191" priority="43" stopIfTrue="1" operator="lessThan">
      <formula>".08-09"</formula>
    </cfRule>
  </conditionalFormatting>
  <conditionalFormatting sqref="M119">
    <cfRule type="cellIs" dxfId="190" priority="42" stopIfTrue="1" operator="lessThan">
      <formula>".08-09"</formula>
    </cfRule>
  </conditionalFormatting>
  <conditionalFormatting sqref="M143 O143">
    <cfRule type="cellIs" dxfId="189" priority="41" stopIfTrue="1" operator="lessThan">
      <formula>".08-09"</formula>
    </cfRule>
  </conditionalFormatting>
  <conditionalFormatting sqref="M133 O133">
    <cfRule type="cellIs" dxfId="188" priority="40" stopIfTrue="1" operator="lessThan">
      <formula>".08-09"</formula>
    </cfRule>
  </conditionalFormatting>
  <conditionalFormatting sqref="O82 M82">
    <cfRule type="cellIs" dxfId="187" priority="38" stopIfTrue="1" operator="lessThan">
      <formula>".08-09"</formula>
    </cfRule>
  </conditionalFormatting>
  <conditionalFormatting sqref="M73 O73">
    <cfRule type="cellIs" dxfId="186" priority="37" stopIfTrue="1" operator="lessThan">
      <formula>".08-09"</formula>
    </cfRule>
  </conditionalFormatting>
  <conditionalFormatting sqref="O27 M27">
    <cfRule type="cellIs" dxfId="185" priority="34" stopIfTrue="1" operator="lessThan">
      <formula>".08-09"</formula>
    </cfRule>
  </conditionalFormatting>
  <conditionalFormatting sqref="O136 M136">
    <cfRule type="cellIs" dxfId="184" priority="31" stopIfTrue="1" operator="lessThan">
      <formula>".08-09"</formula>
    </cfRule>
  </conditionalFormatting>
  <conditionalFormatting sqref="O7 M7">
    <cfRule type="cellIs" dxfId="183" priority="30" stopIfTrue="1" operator="lessThan">
      <formula>".08-09"</formula>
    </cfRule>
  </conditionalFormatting>
  <conditionalFormatting sqref="O77 M77">
    <cfRule type="cellIs" dxfId="182" priority="22" stopIfTrue="1" operator="lessThan">
      <formula>".08-09"</formula>
    </cfRule>
  </conditionalFormatting>
  <conditionalFormatting sqref="O122">
    <cfRule type="cellIs" dxfId="181" priority="13" stopIfTrue="1" operator="lessThan">
      <formula>".08-09"</formula>
    </cfRule>
  </conditionalFormatting>
  <conditionalFormatting sqref="O90 M90">
    <cfRule type="cellIs" dxfId="180" priority="15" stopIfTrue="1" operator="lessThan">
      <formula>".08-09"</formula>
    </cfRule>
  </conditionalFormatting>
  <conditionalFormatting sqref="M134 O134">
    <cfRule type="cellIs" dxfId="179" priority="14" stopIfTrue="1" operator="lessThan">
      <formula>".08-09"</formula>
    </cfRule>
  </conditionalFormatting>
  <conditionalFormatting sqref="M122">
    <cfRule type="cellIs" dxfId="178" priority="12" stopIfTrue="1" operator="lessThan">
      <formula>".08-09"</formula>
    </cfRule>
  </conditionalFormatting>
  <conditionalFormatting sqref="O130 M130">
    <cfRule type="cellIs" dxfId="177" priority="10" stopIfTrue="1" operator="lessThan">
      <formula>".08-09"</formula>
    </cfRule>
  </conditionalFormatting>
  <conditionalFormatting sqref="O78 M78">
    <cfRule type="cellIs" dxfId="176" priority="9" stopIfTrue="1" operator="lessThan">
      <formula>".08-09"</formula>
    </cfRule>
  </conditionalFormatting>
  <conditionalFormatting sqref="O118 M118">
    <cfRule type="cellIs" dxfId="175" priority="7" stopIfTrue="1" operator="lessThan">
      <formula>".08-09"</formula>
    </cfRule>
  </conditionalFormatting>
  <conditionalFormatting sqref="O181 M181">
    <cfRule type="cellIs" dxfId="174" priority="5" stopIfTrue="1" operator="lessThan">
      <formula>".08-09"</formula>
    </cfRule>
  </conditionalFormatting>
  <conditionalFormatting sqref="O184 M184">
    <cfRule type="cellIs" dxfId="173" priority="4" stopIfTrue="1" operator="lessThan">
      <formula>".08-09"</formula>
    </cfRule>
  </conditionalFormatting>
  <conditionalFormatting sqref="O87 M87">
    <cfRule type="cellIs" dxfId="172" priority="3" stopIfTrue="1" operator="lessThan">
      <formula>".08-09"</formula>
    </cfRule>
  </conditionalFormatting>
  <conditionalFormatting sqref="O121 M121">
    <cfRule type="cellIs" dxfId="171" priority="2" stopIfTrue="1" operator="lessThan">
      <formula>".08-09"</formula>
    </cfRule>
  </conditionalFormatting>
  <conditionalFormatting sqref="O22 M22">
    <cfRule type="cellIs" dxfId="170"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4" manualBreakCount="4">
    <brk id="38" max="16383" man="1"/>
    <brk id="69" max="16383" man="1"/>
    <brk id="107" max="16383" man="1"/>
    <brk id="1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46"/>
  <sheetViews>
    <sheetView zoomScaleNormal="100" workbookViewId="0"/>
  </sheetViews>
  <sheetFormatPr defaultRowHeight="12.6" customHeight="1"/>
  <cols>
    <col min="1" max="1" width="8.140625" style="75" customWidth="1"/>
    <col min="2" max="2" width="23.85546875" style="75" customWidth="1"/>
    <col min="3" max="3" width="6.42578125" style="15" customWidth="1"/>
    <col min="4" max="4" width="4.7109375" style="14" customWidth="1"/>
    <col min="5" max="5" width="5.28515625" style="15" customWidth="1"/>
    <col min="6" max="6" width="4.7109375" style="17" customWidth="1"/>
    <col min="7" max="7" width="4.7109375" style="48" customWidth="1"/>
    <col min="8" max="8" width="4.7109375" style="74" customWidth="1"/>
    <col min="9" max="10" width="4.7109375" style="15" customWidth="1"/>
    <col min="11" max="11" width="5.7109375" style="15" customWidth="1"/>
    <col min="12" max="17" width="5.28515625" style="15" customWidth="1"/>
    <col min="18" max="18" width="6.42578125" style="15" customWidth="1"/>
    <col min="19" max="20" width="5.28515625" style="15" customWidth="1"/>
    <col min="21" max="21" width="6.42578125" style="15" customWidth="1"/>
    <col min="22" max="22" width="3.140625" style="15" customWidth="1"/>
    <col min="23" max="16384" width="9.140625" style="19"/>
  </cols>
  <sheetData>
    <row r="1" spans="1:22" ht="12.6" customHeight="1">
      <c r="A1" s="10" t="str">
        <f>i!A1</f>
        <v>Lens$db: Lens Price database</v>
      </c>
      <c r="B1" s="30"/>
      <c r="C1" s="45" t="s">
        <v>16</v>
      </c>
      <c r="D1" s="30" t="s">
        <v>16</v>
      </c>
      <c r="E1" s="45" t="s">
        <v>16</v>
      </c>
      <c r="F1" s="30" t="s">
        <v>16</v>
      </c>
      <c r="G1" s="48" t="s">
        <v>16</v>
      </c>
      <c r="H1" s="74" t="s">
        <v>16</v>
      </c>
      <c r="I1" s="15" t="s">
        <v>16</v>
      </c>
      <c r="J1" s="60" t="s">
        <v>16</v>
      </c>
      <c r="K1" s="15" t="s">
        <v>16</v>
      </c>
      <c r="L1" s="16" t="s">
        <v>16</v>
      </c>
      <c r="M1" s="16" t="s">
        <v>16</v>
      </c>
      <c r="N1" s="16" t="s">
        <v>16</v>
      </c>
      <c r="O1" s="16" t="s">
        <v>16</v>
      </c>
      <c r="P1" s="16" t="s">
        <v>16</v>
      </c>
      <c r="Q1" s="19" t="str">
        <f>i!B3</f>
        <v>.2016-06-01</v>
      </c>
      <c r="S1" s="47"/>
      <c r="T1" s="16" t="s">
        <v>16</v>
      </c>
      <c r="U1" s="15" t="s">
        <v>16</v>
      </c>
    </row>
    <row r="2" spans="1:22" ht="12.6" customHeight="1">
      <c r="A2" s="37" t="str">
        <f>i!A3</f>
        <v>v.31</v>
      </c>
      <c r="F2" s="36"/>
      <c r="G2" s="44"/>
      <c r="H2" s="53"/>
      <c r="I2" s="16"/>
      <c r="J2" s="11"/>
      <c r="K2" s="16"/>
      <c r="L2" s="16"/>
      <c r="M2" s="18"/>
      <c r="N2" s="27"/>
      <c r="O2" s="18"/>
      <c r="P2" s="27"/>
      <c r="Q2" s="18"/>
      <c r="R2" s="27"/>
      <c r="S2" s="27"/>
      <c r="T2" s="18"/>
      <c r="U2" s="34"/>
    </row>
    <row r="3" spans="1:22" s="30" customFormat="1" ht="12.6" customHeight="1">
      <c r="A3" s="37" t="s">
        <v>16</v>
      </c>
      <c r="B3" s="30" t="s">
        <v>16</v>
      </c>
      <c r="C3" s="49" t="s">
        <v>16</v>
      </c>
      <c r="D3" s="21" t="s">
        <v>16</v>
      </c>
      <c r="E3" s="49" t="s">
        <v>16</v>
      </c>
      <c r="F3" s="77" t="s">
        <v>16</v>
      </c>
      <c r="G3" s="50" t="s">
        <v>16</v>
      </c>
      <c r="H3" s="50" t="s">
        <v>16</v>
      </c>
      <c r="I3" s="50" t="s">
        <v>16</v>
      </c>
      <c r="J3" s="27" t="s">
        <v>16</v>
      </c>
      <c r="K3" s="50" t="s">
        <v>16</v>
      </c>
      <c r="L3" s="78" t="s">
        <v>16</v>
      </c>
      <c r="M3" s="28" t="s">
        <v>16</v>
      </c>
      <c r="N3" s="28" t="s">
        <v>17</v>
      </c>
      <c r="O3" s="28" t="s">
        <v>16</v>
      </c>
      <c r="P3" s="136" t="s">
        <v>16</v>
      </c>
      <c r="Q3" s="90" t="s">
        <v>16</v>
      </c>
      <c r="R3" s="137" t="s">
        <v>18</v>
      </c>
      <c r="S3" s="28"/>
      <c r="T3" s="28" t="s">
        <v>16</v>
      </c>
      <c r="U3" s="126" t="s">
        <v>16</v>
      </c>
      <c r="V3" s="12"/>
    </row>
    <row r="4" spans="1:22" s="37" customFormat="1" ht="12.6" customHeight="1">
      <c r="A4" s="30" t="s">
        <v>313</v>
      </c>
      <c r="B4" s="30"/>
      <c r="C4" s="16" t="s">
        <v>6</v>
      </c>
      <c r="D4" s="18" t="s">
        <v>11</v>
      </c>
      <c r="E4" s="36" t="s">
        <v>760</v>
      </c>
      <c r="F4" s="122" t="s">
        <v>13</v>
      </c>
      <c r="G4" s="52" t="s">
        <v>277</v>
      </c>
      <c r="H4" s="53" t="s">
        <v>7</v>
      </c>
      <c r="I4" s="16" t="s">
        <v>325</v>
      </c>
      <c r="J4" s="16" t="s">
        <v>326</v>
      </c>
      <c r="K4" s="31" t="s">
        <v>327</v>
      </c>
      <c r="L4" s="32" t="s">
        <v>506</v>
      </c>
      <c r="M4" s="33"/>
      <c r="N4" s="34" t="s">
        <v>19</v>
      </c>
      <c r="O4" s="27"/>
      <c r="P4" s="138"/>
      <c r="Q4" s="28" t="s">
        <v>507</v>
      </c>
      <c r="R4" s="29"/>
      <c r="S4" s="135"/>
      <c r="T4" s="31" t="s">
        <v>9</v>
      </c>
      <c r="U4" s="31"/>
      <c r="V4" s="16"/>
    </row>
    <row r="5" spans="1:22" s="37" customFormat="1" ht="12.6" customHeight="1">
      <c r="A5" s="38" t="s">
        <v>16</v>
      </c>
      <c r="B5" s="38" t="s">
        <v>16</v>
      </c>
      <c r="C5" s="27" t="s">
        <v>20</v>
      </c>
      <c r="D5" s="41" t="s">
        <v>16</v>
      </c>
      <c r="E5" s="27" t="s">
        <v>16</v>
      </c>
      <c r="F5" s="84" t="s">
        <v>16</v>
      </c>
      <c r="G5" s="55" t="s">
        <v>37</v>
      </c>
      <c r="H5" s="56" t="s">
        <v>21</v>
      </c>
      <c r="I5" s="27" t="s">
        <v>20</v>
      </c>
      <c r="J5" s="27" t="s">
        <v>20</v>
      </c>
      <c r="K5" s="33" t="s">
        <v>20</v>
      </c>
      <c r="L5" s="26" t="s">
        <v>22</v>
      </c>
      <c r="M5" s="33" t="s">
        <v>23</v>
      </c>
      <c r="N5" s="27" t="s">
        <v>22</v>
      </c>
      <c r="O5" s="27" t="s">
        <v>23</v>
      </c>
      <c r="P5" s="26" t="s">
        <v>22</v>
      </c>
      <c r="Q5" s="27" t="s">
        <v>23</v>
      </c>
      <c r="R5" s="33" t="s">
        <v>24</v>
      </c>
      <c r="S5" s="35" t="s">
        <v>22</v>
      </c>
      <c r="T5" s="28" t="s">
        <v>23</v>
      </c>
      <c r="U5" s="29" t="s">
        <v>24</v>
      </c>
      <c r="V5" s="16"/>
    </row>
    <row r="6" spans="1:22" s="37" customFormat="1" ht="12.6" customHeight="1">
      <c r="A6" s="121" t="s">
        <v>346</v>
      </c>
      <c r="B6" s="68"/>
      <c r="C6" s="28" t="s">
        <v>16</v>
      </c>
      <c r="D6" s="69" t="s">
        <v>16</v>
      </c>
      <c r="E6" s="28" t="s">
        <v>16</v>
      </c>
      <c r="F6" s="72" t="s">
        <v>16</v>
      </c>
      <c r="G6" s="70" t="s">
        <v>16</v>
      </c>
      <c r="H6" s="71" t="s">
        <v>16</v>
      </c>
      <c r="I6" s="28" t="s">
        <v>16</v>
      </c>
      <c r="J6" s="28" t="s">
        <v>16</v>
      </c>
      <c r="K6" s="28" t="s">
        <v>16</v>
      </c>
      <c r="L6" s="28" t="s">
        <v>16</v>
      </c>
      <c r="M6" s="28" t="s">
        <v>16</v>
      </c>
      <c r="N6" s="28" t="s">
        <v>16</v>
      </c>
      <c r="O6" s="28" t="s">
        <v>16</v>
      </c>
      <c r="P6" s="28" t="s">
        <v>16</v>
      </c>
      <c r="Q6" s="28" t="s">
        <v>16</v>
      </c>
      <c r="R6" s="28" t="s">
        <v>16</v>
      </c>
      <c r="S6" s="28" t="s">
        <v>16</v>
      </c>
      <c r="T6" s="28" t="s">
        <v>16</v>
      </c>
      <c r="U6" s="28" t="s">
        <v>16</v>
      </c>
    </row>
    <row r="7" spans="1:22" ht="12.6" customHeight="1">
      <c r="A7" s="75" t="s">
        <v>216</v>
      </c>
      <c r="B7" s="75" t="s">
        <v>275</v>
      </c>
      <c r="C7" s="15">
        <v>24</v>
      </c>
      <c r="D7" s="14" t="s">
        <v>126</v>
      </c>
      <c r="E7" s="31">
        <f t="shared" ref="E7:E27" si="0">1.6*C7</f>
        <v>38.400000000000006</v>
      </c>
      <c r="F7" s="85" t="s">
        <v>215</v>
      </c>
      <c r="G7" s="48">
        <v>0.3</v>
      </c>
      <c r="H7" s="74">
        <v>0.78500000000000003</v>
      </c>
      <c r="I7" s="15">
        <v>82</v>
      </c>
      <c r="J7" s="15">
        <v>100</v>
      </c>
      <c r="K7" s="31" t="s">
        <v>128</v>
      </c>
      <c r="L7" s="25">
        <f>AVERAGE(587,750,520,697,500,700,700,796,579)</f>
        <v>647.66666666666663</v>
      </c>
      <c r="M7" s="39" t="s">
        <v>1092</v>
      </c>
      <c r="N7" s="25">
        <f>AVERAGE(950)</f>
        <v>950</v>
      </c>
      <c r="O7" s="39" t="s">
        <v>821</v>
      </c>
      <c r="P7" s="25">
        <v>1169</v>
      </c>
      <c r="Q7" s="16" t="s">
        <v>821</v>
      </c>
      <c r="R7" s="31" t="s">
        <v>30</v>
      </c>
      <c r="S7" s="67">
        <v>1480</v>
      </c>
      <c r="T7" s="16" t="s">
        <v>723</v>
      </c>
      <c r="U7" s="31" t="s">
        <v>30</v>
      </c>
    </row>
    <row r="8" spans="1:22" ht="12.6" customHeight="1">
      <c r="A8" s="200" t="s">
        <v>216</v>
      </c>
      <c r="B8" s="200" t="s">
        <v>245</v>
      </c>
      <c r="C8" s="155">
        <v>35</v>
      </c>
      <c r="D8" s="201">
        <v>3.5</v>
      </c>
      <c r="E8" s="186">
        <f t="shared" si="0"/>
        <v>56</v>
      </c>
      <c r="F8" s="202" t="s">
        <v>215</v>
      </c>
      <c r="G8" s="170">
        <v>0.45</v>
      </c>
      <c r="H8" s="171">
        <v>0.44500000000000001</v>
      </c>
      <c r="I8" s="155">
        <v>61</v>
      </c>
      <c r="J8" s="155">
        <v>80</v>
      </c>
      <c r="K8" s="186">
        <v>77</v>
      </c>
      <c r="L8" s="203">
        <f>AVERAGE(230,219,219,220,225,198,245,225,187,195)</f>
        <v>216.3</v>
      </c>
      <c r="M8" s="204" t="s">
        <v>1092</v>
      </c>
      <c r="N8" s="203">
        <f>AVERAGE(271,290,300,285,280,262,270,283,278)</f>
        <v>279.88888888888891</v>
      </c>
      <c r="O8" s="204" t="s">
        <v>1092</v>
      </c>
      <c r="P8" s="203">
        <v>390</v>
      </c>
      <c r="Q8" s="141" t="s">
        <v>881</v>
      </c>
      <c r="R8" s="186" t="s">
        <v>32</v>
      </c>
      <c r="S8" s="203">
        <v>225</v>
      </c>
      <c r="T8" s="141" t="s">
        <v>881</v>
      </c>
      <c r="U8" s="186" t="s">
        <v>28</v>
      </c>
    </row>
    <row r="9" spans="1:22" ht="12.6" customHeight="1">
      <c r="A9" s="200" t="s">
        <v>216</v>
      </c>
      <c r="B9" s="200" t="s">
        <v>246</v>
      </c>
      <c r="C9" s="155">
        <v>45</v>
      </c>
      <c r="D9" s="201" t="s">
        <v>151</v>
      </c>
      <c r="E9" s="186">
        <f t="shared" si="0"/>
        <v>72</v>
      </c>
      <c r="F9" s="202" t="s">
        <v>215</v>
      </c>
      <c r="G9" s="170">
        <v>0.45</v>
      </c>
      <c r="H9" s="171">
        <v>0.47499999999999998</v>
      </c>
      <c r="I9" s="155">
        <v>70</v>
      </c>
      <c r="J9" s="155">
        <v>70.5</v>
      </c>
      <c r="K9" s="186">
        <v>67</v>
      </c>
      <c r="L9" s="203">
        <f>AVERAGE(110,149,143,110,132,179,139,120,140,159)</f>
        <v>138.1</v>
      </c>
      <c r="M9" s="204" t="s">
        <v>1092</v>
      </c>
      <c r="N9" s="203">
        <f>AVERAGE(175,199,183,165,175,189,150,225,285,229)</f>
        <v>197.5</v>
      </c>
      <c r="O9" s="204" t="s">
        <v>1008</v>
      </c>
      <c r="P9" s="203">
        <v>200</v>
      </c>
      <c r="Q9" s="141" t="s">
        <v>881</v>
      </c>
      <c r="R9" s="186" t="s">
        <v>30</v>
      </c>
      <c r="S9" s="203">
        <v>380</v>
      </c>
      <c r="T9" s="141" t="s">
        <v>677</v>
      </c>
      <c r="U9" s="186" t="s">
        <v>32</v>
      </c>
    </row>
    <row r="10" spans="1:22" ht="12.6" customHeight="1">
      <c r="A10" s="200" t="s">
        <v>216</v>
      </c>
      <c r="B10" s="200" t="s">
        <v>247</v>
      </c>
      <c r="C10" s="155">
        <v>50</v>
      </c>
      <c r="D10" s="201">
        <v>4</v>
      </c>
      <c r="E10" s="186">
        <f t="shared" si="0"/>
        <v>80</v>
      </c>
      <c r="F10" s="202" t="s">
        <v>215</v>
      </c>
      <c r="G10" s="170">
        <v>0.45</v>
      </c>
      <c r="H10" s="171">
        <v>0.73499999999999999</v>
      </c>
      <c r="I10" s="155">
        <v>105</v>
      </c>
      <c r="J10" s="155">
        <v>80</v>
      </c>
      <c r="K10" s="186">
        <v>77</v>
      </c>
      <c r="L10" s="203">
        <f>AVERAGE(400,400,438,340,420,420,439,420,400,480,350,459,360)</f>
        <v>409.69230769230768</v>
      </c>
      <c r="M10" s="204" t="s">
        <v>852</v>
      </c>
      <c r="N10" s="203">
        <f>AVERAGE(500,432,439,475,550,650,575)</f>
        <v>517.28571428571433</v>
      </c>
      <c r="O10" s="204" t="s">
        <v>881</v>
      </c>
      <c r="P10" s="203">
        <v>395</v>
      </c>
      <c r="Q10" s="141" t="s">
        <v>881</v>
      </c>
      <c r="R10" s="186" t="s">
        <v>28</v>
      </c>
      <c r="S10" s="203">
        <v>600</v>
      </c>
      <c r="T10" s="141" t="s">
        <v>734</v>
      </c>
      <c r="U10" s="186" t="s">
        <v>32</v>
      </c>
    </row>
    <row r="11" spans="1:22" ht="12.6" customHeight="1">
      <c r="A11" s="200" t="s">
        <v>216</v>
      </c>
      <c r="B11" s="200" t="s">
        <v>248</v>
      </c>
      <c r="C11" s="155">
        <v>55</v>
      </c>
      <c r="D11" s="201" t="s">
        <v>151</v>
      </c>
      <c r="E11" s="186">
        <f t="shared" si="0"/>
        <v>88</v>
      </c>
      <c r="F11" s="202" t="s">
        <v>215</v>
      </c>
      <c r="G11" s="170">
        <v>0.45</v>
      </c>
      <c r="H11" s="171">
        <v>0.30499999999999999</v>
      </c>
      <c r="I11" s="155">
        <v>59</v>
      </c>
      <c r="J11" s="155">
        <v>70</v>
      </c>
      <c r="K11" s="186">
        <v>58</v>
      </c>
      <c r="L11" s="203">
        <f>AVERAGE(132,129,128,146,125,120,149,137,109,139,120)</f>
        <v>130.36363636363637</v>
      </c>
      <c r="M11" s="204" t="s">
        <v>1092</v>
      </c>
      <c r="N11" s="203">
        <f>AVERAGE(170,189,150,162,172,189,170,175,170,179,175,179)</f>
        <v>173.33333333333334</v>
      </c>
      <c r="O11" s="204" t="s">
        <v>1001</v>
      </c>
      <c r="P11" s="203">
        <v>133</v>
      </c>
      <c r="Q11" s="141" t="s">
        <v>881</v>
      </c>
      <c r="R11" s="186" t="s">
        <v>30</v>
      </c>
      <c r="S11" s="203">
        <v>170</v>
      </c>
      <c r="T11" s="141" t="s">
        <v>881</v>
      </c>
      <c r="U11" s="186" t="s">
        <v>32</v>
      </c>
    </row>
    <row r="12" spans="1:22" ht="12.6" customHeight="1">
      <c r="A12" s="200" t="s">
        <v>216</v>
      </c>
      <c r="B12" s="200" t="s">
        <v>257</v>
      </c>
      <c r="C12" s="155">
        <v>80</v>
      </c>
      <c r="D12" s="201" t="s">
        <v>218</v>
      </c>
      <c r="E12" s="186">
        <f>1.6*C12</f>
        <v>128</v>
      </c>
      <c r="F12" s="202" t="s">
        <v>215</v>
      </c>
      <c r="G12" s="170">
        <v>0.7</v>
      </c>
      <c r="H12" s="171">
        <v>0.42</v>
      </c>
      <c r="I12" s="155">
        <v>59</v>
      </c>
      <c r="J12" s="155">
        <v>75.5</v>
      </c>
      <c r="K12" s="186">
        <v>67</v>
      </c>
      <c r="L12" s="203">
        <f>AVERAGE(200,238,190,191,218,238,199,188,219,218,205)</f>
        <v>209.45454545454547</v>
      </c>
      <c r="M12" s="204" t="s">
        <v>1008</v>
      </c>
      <c r="N12" s="203">
        <f>AVERAGE(280,270,309,289,290,299,270,290,299,255)</f>
        <v>285.10000000000002</v>
      </c>
      <c r="O12" s="204" t="s">
        <v>1092</v>
      </c>
      <c r="P12" s="203">
        <v>225</v>
      </c>
      <c r="Q12" s="141" t="s">
        <v>881</v>
      </c>
      <c r="R12" s="186" t="s">
        <v>28</v>
      </c>
      <c r="S12" s="203" t="s">
        <v>16</v>
      </c>
      <c r="T12" s="141" t="s">
        <v>16</v>
      </c>
      <c r="U12" s="186" t="s">
        <v>16</v>
      </c>
    </row>
    <row r="13" spans="1:22" ht="12.6" customHeight="1">
      <c r="A13" s="200" t="s">
        <v>216</v>
      </c>
      <c r="B13" s="200" t="s">
        <v>276</v>
      </c>
      <c r="C13" s="155">
        <v>80</v>
      </c>
      <c r="D13" s="201" t="s">
        <v>218</v>
      </c>
      <c r="E13" s="186">
        <f t="shared" si="0"/>
        <v>128</v>
      </c>
      <c r="F13" s="202" t="s">
        <v>215</v>
      </c>
      <c r="G13" s="170" t="s">
        <v>16</v>
      </c>
      <c r="H13" s="171" t="s">
        <v>16</v>
      </c>
      <c r="I13" s="155" t="s">
        <v>16</v>
      </c>
      <c r="J13" s="155" t="s">
        <v>16</v>
      </c>
      <c r="K13" s="186" t="s">
        <v>16</v>
      </c>
      <c r="L13" s="203">
        <f>AVERAGE(170,257,190,199,160,160,160,199,225)</f>
        <v>191.11111111111111</v>
      </c>
      <c r="M13" s="204" t="s">
        <v>1001</v>
      </c>
      <c r="N13" s="203">
        <f>AVERAGE(326,245,248,257,285,362,360)</f>
        <v>297.57142857142856</v>
      </c>
      <c r="O13" s="204" t="s">
        <v>1092</v>
      </c>
      <c r="P13" s="203">
        <v>450</v>
      </c>
      <c r="Q13" s="141" t="s">
        <v>881</v>
      </c>
      <c r="R13" s="186" t="s">
        <v>30</v>
      </c>
      <c r="S13" s="203" t="s">
        <v>16</v>
      </c>
      <c r="T13" s="141" t="s">
        <v>16</v>
      </c>
      <c r="U13" s="186" t="s">
        <v>16</v>
      </c>
    </row>
    <row r="14" spans="1:22" ht="12.6" customHeight="1">
      <c r="A14" s="200" t="s">
        <v>216</v>
      </c>
      <c r="B14" s="200" t="s">
        <v>249</v>
      </c>
      <c r="C14" s="155">
        <v>80</v>
      </c>
      <c r="D14" s="201" t="s">
        <v>151</v>
      </c>
      <c r="E14" s="186">
        <f t="shared" si="0"/>
        <v>128</v>
      </c>
      <c r="F14" s="202" t="s">
        <v>215</v>
      </c>
      <c r="G14" s="170">
        <v>0.7</v>
      </c>
      <c r="H14" s="171">
        <v>0.22</v>
      </c>
      <c r="I14" s="155">
        <v>43</v>
      </c>
      <c r="J14" s="155">
        <v>70</v>
      </c>
      <c r="K14" s="186">
        <v>58</v>
      </c>
      <c r="L14" s="203">
        <f>AVERAGE(105,76,119,92,108,109,108,100,89,75,77,100,98,103,110)</f>
        <v>97.933333333333337</v>
      </c>
      <c r="M14" s="204" t="s">
        <v>1008</v>
      </c>
      <c r="N14" s="203">
        <f>AVERAGE(126,140,148,190,170,149,119)</f>
        <v>148.85714285714286</v>
      </c>
      <c r="O14" s="204" t="s">
        <v>881</v>
      </c>
      <c r="P14" s="203">
        <v>90</v>
      </c>
      <c r="Q14" s="141" t="s">
        <v>881</v>
      </c>
      <c r="R14" s="186" t="s">
        <v>30</v>
      </c>
      <c r="S14" s="203">
        <v>120</v>
      </c>
      <c r="T14" s="141" t="s">
        <v>821</v>
      </c>
      <c r="U14" s="186" t="s">
        <v>30</v>
      </c>
    </row>
    <row r="15" spans="1:22" ht="11.25">
      <c r="A15" s="200" t="s">
        <v>216</v>
      </c>
      <c r="B15" s="200" t="s">
        <v>250</v>
      </c>
      <c r="C15" s="155">
        <v>80</v>
      </c>
      <c r="D15" s="201" t="s">
        <v>126</v>
      </c>
      <c r="E15" s="186">
        <f t="shared" si="0"/>
        <v>128</v>
      </c>
      <c r="F15" s="202" t="s">
        <v>215</v>
      </c>
      <c r="G15" s="170">
        <v>0.37</v>
      </c>
      <c r="H15" s="171">
        <v>0.58499999999999996</v>
      </c>
      <c r="I15" s="155">
        <v>75</v>
      </c>
      <c r="J15" s="155">
        <v>79</v>
      </c>
      <c r="K15" s="186">
        <v>67</v>
      </c>
      <c r="L15" s="203">
        <f>AVERAGE(130,117,124,110,148,165,130,150,121,108)</f>
        <v>130.30000000000001</v>
      </c>
      <c r="M15" s="204" t="s">
        <v>1092</v>
      </c>
      <c r="N15" s="203">
        <f>AVERAGE(200,207,200,197,190,260,225,203)</f>
        <v>210.25</v>
      </c>
      <c r="O15" s="204" t="s">
        <v>999</v>
      </c>
      <c r="P15" s="203">
        <f>149*CA.US</f>
        <v>113.24</v>
      </c>
      <c r="Q15" s="141" t="s">
        <v>1001</v>
      </c>
      <c r="R15" s="186" t="s">
        <v>623</v>
      </c>
      <c r="S15" s="203">
        <v>275</v>
      </c>
      <c r="T15" s="141" t="s">
        <v>807</v>
      </c>
      <c r="U15" s="186" t="s">
        <v>28</v>
      </c>
    </row>
    <row r="16" spans="1:22" ht="11.25">
      <c r="A16" s="200" t="s">
        <v>216</v>
      </c>
      <c r="B16" s="200" t="s">
        <v>624</v>
      </c>
      <c r="C16" s="155">
        <v>110</v>
      </c>
      <c r="D16" s="201" t="s">
        <v>151</v>
      </c>
      <c r="E16" s="186">
        <f t="shared" si="0"/>
        <v>176</v>
      </c>
      <c r="F16" s="202" t="s">
        <v>215</v>
      </c>
      <c r="G16" s="170">
        <v>1.2</v>
      </c>
      <c r="H16" s="171">
        <v>0.39</v>
      </c>
      <c r="I16" s="155">
        <v>60</v>
      </c>
      <c r="J16" s="155">
        <v>70</v>
      </c>
      <c r="K16" s="186">
        <v>58</v>
      </c>
      <c r="L16" s="203">
        <f>AVERAGE(130,120,108,100,123,119,128,140,150,158,116)</f>
        <v>126.54545454545455</v>
      </c>
      <c r="M16" s="204" t="s">
        <v>1001</v>
      </c>
      <c r="N16" s="203">
        <f>AVERAGE(180,175,232,239,179)</f>
        <v>201</v>
      </c>
      <c r="O16" s="204" t="s">
        <v>773</v>
      </c>
      <c r="P16" s="203">
        <v>110</v>
      </c>
      <c r="Q16" s="141" t="s">
        <v>813</v>
      </c>
      <c r="R16" s="186" t="s">
        <v>30</v>
      </c>
      <c r="S16" s="203">
        <v>150</v>
      </c>
      <c r="T16" s="141" t="s">
        <v>881</v>
      </c>
      <c r="U16" s="186" t="s">
        <v>32</v>
      </c>
    </row>
    <row r="17" spans="1:21" ht="12.6" customHeight="1">
      <c r="A17" s="200" t="s">
        <v>216</v>
      </c>
      <c r="B17" s="200" t="s">
        <v>480</v>
      </c>
      <c r="C17" s="155">
        <v>145</v>
      </c>
      <c r="D17" s="201" t="s">
        <v>126</v>
      </c>
      <c r="E17" s="186">
        <f>1.6*C17</f>
        <v>232</v>
      </c>
      <c r="F17" s="202" t="s">
        <v>215</v>
      </c>
      <c r="G17" s="170">
        <v>1.2</v>
      </c>
      <c r="H17" s="171">
        <v>0.9</v>
      </c>
      <c r="I17" s="155">
        <v>116</v>
      </c>
      <c r="J17" s="155">
        <v>80</v>
      </c>
      <c r="K17" s="186">
        <v>77</v>
      </c>
      <c r="L17" s="203">
        <f>AVERAGE(118,150,100,99,100,100,119,99,123,128)</f>
        <v>113.6</v>
      </c>
      <c r="M17" s="204" t="s">
        <v>1092</v>
      </c>
      <c r="N17" s="203">
        <f>AVERAGE(224.222,222,224,200,233,200,225,225,199)</f>
        <v>216.91355555555555</v>
      </c>
      <c r="O17" s="204" t="s">
        <v>881</v>
      </c>
      <c r="P17" s="203">
        <v>170</v>
      </c>
      <c r="Q17" s="141" t="s">
        <v>821</v>
      </c>
      <c r="R17" s="186" t="s">
        <v>33</v>
      </c>
      <c r="S17" s="203">
        <v>400</v>
      </c>
      <c r="T17" s="141" t="s">
        <v>881</v>
      </c>
      <c r="U17" s="186" t="s">
        <v>32</v>
      </c>
    </row>
    <row r="18" spans="1:21" ht="12.6" customHeight="1">
      <c r="A18" s="200" t="s">
        <v>216</v>
      </c>
      <c r="B18" s="200" t="s">
        <v>251</v>
      </c>
      <c r="C18" s="155">
        <v>150</v>
      </c>
      <c r="D18" s="201">
        <v>3.5</v>
      </c>
      <c r="E18" s="186">
        <f t="shared" si="0"/>
        <v>240</v>
      </c>
      <c r="F18" s="202" t="s">
        <v>215</v>
      </c>
      <c r="G18" s="170">
        <v>1.5</v>
      </c>
      <c r="H18" s="171">
        <v>0.41499999999999998</v>
      </c>
      <c r="I18" s="155">
        <v>80</v>
      </c>
      <c r="J18" s="155">
        <v>70</v>
      </c>
      <c r="K18" s="186">
        <v>58</v>
      </c>
      <c r="L18" s="203">
        <f>AVERAGE(103,105,100,110,127,104,100,119,100)</f>
        <v>107.55555555555556</v>
      </c>
      <c r="M18" s="204" t="s">
        <v>1092</v>
      </c>
      <c r="N18" s="203">
        <f>AVERAGE(205,138,250,130,142,133,130,125,120)</f>
        <v>152.55555555555554</v>
      </c>
      <c r="O18" s="204" t="s">
        <v>807</v>
      </c>
      <c r="P18" s="203">
        <f>99*CA.US</f>
        <v>75.239999999999995</v>
      </c>
      <c r="Q18" s="141" t="s">
        <v>1001</v>
      </c>
      <c r="R18" s="186" t="s">
        <v>623</v>
      </c>
      <c r="S18" s="203">
        <v>130</v>
      </c>
      <c r="T18" s="141" t="s">
        <v>881</v>
      </c>
      <c r="U18" s="186" t="s">
        <v>32</v>
      </c>
    </row>
    <row r="19" spans="1:21" ht="12.6" customHeight="1">
      <c r="A19" s="200" t="s">
        <v>216</v>
      </c>
      <c r="B19" s="200" t="s">
        <v>252</v>
      </c>
      <c r="C19" s="155">
        <v>210</v>
      </c>
      <c r="D19" s="201">
        <v>4</v>
      </c>
      <c r="E19" s="186">
        <f t="shared" si="0"/>
        <v>336</v>
      </c>
      <c r="F19" s="202" t="s">
        <v>215</v>
      </c>
      <c r="G19" s="170">
        <v>2.5</v>
      </c>
      <c r="H19" s="171">
        <v>0.71499999999999997</v>
      </c>
      <c r="I19" s="155">
        <v>137</v>
      </c>
      <c r="J19" s="155">
        <v>70</v>
      </c>
      <c r="K19" s="186">
        <v>58</v>
      </c>
      <c r="L19" s="203">
        <f>AVERAGE(70,102,105,55,68,89,70,118,100,120)</f>
        <v>89.7</v>
      </c>
      <c r="M19" s="204" t="s">
        <v>847</v>
      </c>
      <c r="N19" s="203">
        <f>AVERAGE(135,120,135,210,145,145,125)</f>
        <v>145</v>
      </c>
      <c r="O19" s="204" t="s">
        <v>881</v>
      </c>
      <c r="P19" s="203">
        <v>62</v>
      </c>
      <c r="Q19" s="141" t="s">
        <v>881</v>
      </c>
      <c r="R19" s="186" t="s">
        <v>30</v>
      </c>
      <c r="S19" s="203">
        <f>129*CA.US</f>
        <v>98.04</v>
      </c>
      <c r="T19" s="141" t="s">
        <v>1092</v>
      </c>
      <c r="U19" s="186" t="s">
        <v>623</v>
      </c>
    </row>
    <row r="20" spans="1:21" ht="12.6" customHeight="1">
      <c r="A20" s="200" t="s">
        <v>216</v>
      </c>
      <c r="B20" s="200" t="s">
        <v>290</v>
      </c>
      <c r="C20" s="155">
        <v>300</v>
      </c>
      <c r="D20" s="201">
        <v>5.6</v>
      </c>
      <c r="E20" s="186">
        <f t="shared" si="0"/>
        <v>480</v>
      </c>
      <c r="F20" s="202" t="s">
        <v>215</v>
      </c>
      <c r="G20" s="170">
        <v>4</v>
      </c>
      <c r="H20" s="171">
        <v>0.7</v>
      </c>
      <c r="I20" s="155">
        <v>164</v>
      </c>
      <c r="J20" s="155">
        <v>71</v>
      </c>
      <c r="K20" s="186">
        <v>58</v>
      </c>
      <c r="L20" s="203">
        <f>AVERAGE(125,109,114,100,137,120,179,145)</f>
        <v>128.625</v>
      </c>
      <c r="M20" s="204" t="s">
        <v>1092</v>
      </c>
      <c r="N20" s="203">
        <f>AVERAGE(150,200)</f>
        <v>175</v>
      </c>
      <c r="O20" s="204" t="s">
        <v>881</v>
      </c>
      <c r="P20" s="203">
        <v>350</v>
      </c>
      <c r="Q20" s="141" t="s">
        <v>881</v>
      </c>
      <c r="R20" s="186" t="s">
        <v>32</v>
      </c>
      <c r="S20" s="203">
        <v>400</v>
      </c>
      <c r="T20" s="141" t="s">
        <v>677</v>
      </c>
      <c r="U20" s="186" t="s">
        <v>32</v>
      </c>
    </row>
    <row r="21" spans="1:21" ht="12.6" customHeight="1">
      <c r="A21" s="200" t="s">
        <v>216</v>
      </c>
      <c r="B21" s="200" t="s">
        <v>291</v>
      </c>
      <c r="C21" s="155">
        <v>500</v>
      </c>
      <c r="D21" s="201">
        <v>5.6</v>
      </c>
      <c r="E21" s="186">
        <f t="shared" ref="E21" si="1">1.6*C21</f>
        <v>800</v>
      </c>
      <c r="F21" s="202" t="s">
        <v>215</v>
      </c>
      <c r="G21" s="170">
        <v>9</v>
      </c>
      <c r="H21" s="171">
        <v>2.2799999999999998</v>
      </c>
      <c r="I21" s="155">
        <v>358</v>
      </c>
      <c r="J21" s="155">
        <v>114</v>
      </c>
      <c r="K21" s="186">
        <v>105</v>
      </c>
      <c r="L21" s="203">
        <f>AVERAGE(278,290,260,199,289)</f>
        <v>263.2</v>
      </c>
      <c r="M21" s="204" t="s">
        <v>881</v>
      </c>
      <c r="N21" s="203">
        <f>AVERAGE(429,333,330,295,275,460,479,489)</f>
        <v>386.25</v>
      </c>
      <c r="O21" s="204" t="s">
        <v>1092</v>
      </c>
      <c r="P21" s="203">
        <v>400</v>
      </c>
      <c r="Q21" s="141" t="s">
        <v>821</v>
      </c>
      <c r="R21" s="186" t="s">
        <v>33</v>
      </c>
      <c r="S21" s="203">
        <v>700</v>
      </c>
      <c r="T21" s="141" t="s">
        <v>677</v>
      </c>
      <c r="U21" s="186" t="s">
        <v>32</v>
      </c>
    </row>
    <row r="22" spans="1:21" ht="12.6" customHeight="1">
      <c r="A22" s="205" t="s">
        <v>216</v>
      </c>
      <c r="B22" s="205" t="s">
        <v>811</v>
      </c>
      <c r="C22" s="172">
        <v>500</v>
      </c>
      <c r="D22" s="211">
        <v>8</v>
      </c>
      <c r="E22" s="188">
        <f t="shared" si="0"/>
        <v>800</v>
      </c>
      <c r="F22" s="207" t="s">
        <v>215</v>
      </c>
      <c r="G22" s="195">
        <v>4</v>
      </c>
      <c r="H22" s="176">
        <v>0.88300000000000001</v>
      </c>
      <c r="I22" s="172">
        <v>163</v>
      </c>
      <c r="J22" s="172" t="s">
        <v>16</v>
      </c>
      <c r="K22" s="188" t="s">
        <v>16</v>
      </c>
      <c r="L22" s="197">
        <f>AVERAGE(239,225)</f>
        <v>232</v>
      </c>
      <c r="M22" s="279" t="s">
        <v>1008</v>
      </c>
      <c r="N22" s="197">
        <f>AVERAGE(333,351,367,392)</f>
        <v>360.75</v>
      </c>
      <c r="O22" s="208" t="s">
        <v>1092</v>
      </c>
      <c r="P22" s="197" t="s">
        <v>16</v>
      </c>
      <c r="Q22" s="172" t="s">
        <v>16</v>
      </c>
      <c r="R22" s="188" t="s">
        <v>16</v>
      </c>
      <c r="S22" s="197" t="s">
        <v>16</v>
      </c>
      <c r="T22" s="172" t="s">
        <v>16</v>
      </c>
      <c r="U22" s="188" t="s">
        <v>16</v>
      </c>
    </row>
    <row r="23" spans="1:21" ht="12.6" customHeight="1">
      <c r="A23" s="200" t="s">
        <v>216</v>
      </c>
      <c r="B23" s="200" t="s">
        <v>552</v>
      </c>
      <c r="C23" s="155">
        <v>120</v>
      </c>
      <c r="D23" s="201" t="s">
        <v>126</v>
      </c>
      <c r="E23" s="186">
        <f t="shared" si="0"/>
        <v>192</v>
      </c>
      <c r="F23" s="202" t="s">
        <v>215</v>
      </c>
      <c r="G23" s="170">
        <v>0.4</v>
      </c>
      <c r="H23" s="171">
        <v>0.745</v>
      </c>
      <c r="I23" s="155">
        <v>111</v>
      </c>
      <c r="J23" s="155">
        <v>77.400000000000006</v>
      </c>
      <c r="K23" s="186">
        <v>67</v>
      </c>
      <c r="L23" s="203">
        <f>AVERAGE(277,269,278,251,216,284,280,268,280,255,250,255)</f>
        <v>263.58333333333331</v>
      </c>
      <c r="M23" s="204" t="s">
        <v>1092</v>
      </c>
      <c r="N23" s="203">
        <f>AVERAGE(350,374,380,398,337,349,420,375)</f>
        <v>372.875</v>
      </c>
      <c r="O23" s="204" t="s">
        <v>1092</v>
      </c>
      <c r="P23" s="203">
        <v>367</v>
      </c>
      <c r="Q23" s="141" t="s">
        <v>821</v>
      </c>
      <c r="R23" s="186" t="s">
        <v>30</v>
      </c>
      <c r="S23" s="203">
        <v>450</v>
      </c>
      <c r="T23" s="141" t="s">
        <v>881</v>
      </c>
      <c r="U23" s="186" t="s">
        <v>32</v>
      </c>
    </row>
    <row r="24" spans="1:21" ht="12.6" customHeight="1">
      <c r="A24" s="200" t="s">
        <v>216</v>
      </c>
      <c r="B24" s="200" t="s">
        <v>292</v>
      </c>
      <c r="C24" s="155">
        <v>150</v>
      </c>
      <c r="D24" s="201" t="s">
        <v>151</v>
      </c>
      <c r="E24" s="186">
        <f t="shared" si="0"/>
        <v>240</v>
      </c>
      <c r="F24" s="202" t="s">
        <v>215</v>
      </c>
      <c r="G24" s="170">
        <v>1.5</v>
      </c>
      <c r="H24" s="171">
        <v>0.74</v>
      </c>
      <c r="I24" s="155">
        <v>107</v>
      </c>
      <c r="J24" s="155">
        <v>74.5</v>
      </c>
      <c r="K24" s="186">
        <v>67</v>
      </c>
      <c r="L24" s="203">
        <f>AVERAGE(220,210,159,178,218,198,218,198,199,245,198)</f>
        <v>203.72727272727272</v>
      </c>
      <c r="M24" s="204" t="s">
        <v>1092</v>
      </c>
      <c r="N24" s="203">
        <f>AVERAGE(238,418,259,330,295,250,238,340,350,300,330,375)</f>
        <v>310.25</v>
      </c>
      <c r="O24" s="204" t="s">
        <v>863</v>
      </c>
      <c r="P24" s="203">
        <v>280</v>
      </c>
      <c r="Q24" s="141" t="s">
        <v>881</v>
      </c>
      <c r="R24" s="186" t="s">
        <v>30</v>
      </c>
      <c r="S24" s="203" t="s">
        <v>16</v>
      </c>
      <c r="T24" s="141" t="s">
        <v>16</v>
      </c>
      <c r="U24" s="186" t="s">
        <v>16</v>
      </c>
    </row>
    <row r="25" spans="1:21" ht="12.6" customHeight="1">
      <c r="A25" s="200" t="s">
        <v>216</v>
      </c>
      <c r="B25" s="200" t="s">
        <v>253</v>
      </c>
      <c r="C25" s="155">
        <v>200</v>
      </c>
      <c r="D25" s="201" t="s">
        <v>151</v>
      </c>
      <c r="E25" s="186">
        <f t="shared" si="0"/>
        <v>320</v>
      </c>
      <c r="F25" s="202" t="s">
        <v>215</v>
      </c>
      <c r="G25" s="170">
        <v>2.5</v>
      </c>
      <c r="H25" s="171">
        <v>1.1000000000000001</v>
      </c>
      <c r="I25" s="155">
        <v>143.5</v>
      </c>
      <c r="J25" s="155">
        <v>91</v>
      </c>
      <c r="K25" s="186">
        <v>77</v>
      </c>
      <c r="L25" s="203">
        <f>AVERAGE(747,699,698,700,715,541)</f>
        <v>683.33333333333337</v>
      </c>
      <c r="M25" s="204" t="s">
        <v>881</v>
      </c>
      <c r="N25" s="203">
        <f>AVERAGE(949,1090,1179,1056,1019,970,968,968,947)</f>
        <v>1016.2222222222222</v>
      </c>
      <c r="O25" s="204" t="s">
        <v>852</v>
      </c>
      <c r="P25" s="203">
        <v>850</v>
      </c>
      <c r="Q25" s="141" t="s">
        <v>677</v>
      </c>
      <c r="R25" s="186" t="s">
        <v>32</v>
      </c>
      <c r="S25" s="203">
        <v>1080</v>
      </c>
      <c r="T25" s="141" t="s">
        <v>723</v>
      </c>
      <c r="U25" s="186" t="s">
        <v>30</v>
      </c>
    </row>
    <row r="26" spans="1:21" ht="12.6" customHeight="1">
      <c r="A26" s="200" t="s">
        <v>216</v>
      </c>
      <c r="B26" s="200" t="s">
        <v>836</v>
      </c>
      <c r="C26" s="155">
        <v>300</v>
      </c>
      <c r="D26" s="201" t="s">
        <v>151</v>
      </c>
      <c r="E26" s="186">
        <f t="shared" si="0"/>
        <v>480</v>
      </c>
      <c r="F26" s="202" t="s">
        <v>215</v>
      </c>
      <c r="G26" s="170">
        <v>3.5</v>
      </c>
      <c r="H26" s="171">
        <v>2.7</v>
      </c>
      <c r="I26" s="155">
        <v>237</v>
      </c>
      <c r="J26" s="155">
        <v>140</v>
      </c>
      <c r="K26" s="186" t="s">
        <v>244</v>
      </c>
      <c r="L26" s="203">
        <f>AVERAGE(1625,1899,1600,1850,1600,2121,1949)</f>
        <v>1806.2857142857142</v>
      </c>
      <c r="M26" s="204" t="s">
        <v>755</v>
      </c>
      <c r="N26" s="203">
        <f>AVERAGE(2750,3179,3519)</f>
        <v>3149.3333333333335</v>
      </c>
      <c r="O26" s="204" t="s">
        <v>999</v>
      </c>
      <c r="P26" s="203">
        <v>1995</v>
      </c>
      <c r="Q26" s="141" t="s">
        <v>425</v>
      </c>
      <c r="R26" s="186" t="s">
        <v>28</v>
      </c>
      <c r="S26" s="203">
        <v>2200</v>
      </c>
      <c r="T26" s="141" t="s">
        <v>428</v>
      </c>
      <c r="U26" s="186" t="s">
        <v>427</v>
      </c>
    </row>
    <row r="27" spans="1:21" ht="12.6" customHeight="1">
      <c r="A27" s="205" t="s">
        <v>216</v>
      </c>
      <c r="B27" s="205" t="s">
        <v>254</v>
      </c>
      <c r="C27" s="172">
        <v>500</v>
      </c>
      <c r="D27" s="211">
        <v>4.5</v>
      </c>
      <c r="E27" s="188">
        <f t="shared" si="0"/>
        <v>800</v>
      </c>
      <c r="F27" s="207" t="s">
        <v>215</v>
      </c>
      <c r="G27" s="195">
        <v>5</v>
      </c>
      <c r="H27" s="176">
        <v>5.4</v>
      </c>
      <c r="I27" s="172">
        <v>378</v>
      </c>
      <c r="J27" s="172">
        <v>162</v>
      </c>
      <c r="K27" s="188" t="s">
        <v>244</v>
      </c>
      <c r="L27" s="197">
        <f>AVERAGE(2300)</f>
        <v>2300</v>
      </c>
      <c r="M27" s="208" t="s">
        <v>280</v>
      </c>
      <c r="N27" s="197">
        <f>AVERAGE(5600)</f>
        <v>5600</v>
      </c>
      <c r="O27" s="208" t="s">
        <v>1008</v>
      </c>
      <c r="P27" s="197">
        <v>3350</v>
      </c>
      <c r="Q27" s="172" t="s">
        <v>293</v>
      </c>
      <c r="R27" s="188" t="s">
        <v>32</v>
      </c>
      <c r="S27" s="286" t="s">
        <v>402</v>
      </c>
      <c r="T27" s="172" t="s">
        <v>405</v>
      </c>
      <c r="U27" s="188" t="s">
        <v>26</v>
      </c>
    </row>
    <row r="28" spans="1:21" ht="12.6" customHeight="1">
      <c r="A28" s="213" t="s">
        <v>216</v>
      </c>
      <c r="B28" s="213" t="s">
        <v>312</v>
      </c>
      <c r="C28" s="141" t="s">
        <v>272</v>
      </c>
      <c r="D28" s="142">
        <v>4.5</v>
      </c>
      <c r="E28" s="186" t="s">
        <v>16</v>
      </c>
      <c r="F28" s="202" t="s">
        <v>215</v>
      </c>
      <c r="G28" s="183">
        <v>1.5</v>
      </c>
      <c r="H28" s="216">
        <v>0.8</v>
      </c>
      <c r="I28" s="141">
        <v>104</v>
      </c>
      <c r="J28" s="141" t="s">
        <v>16</v>
      </c>
      <c r="K28" s="186">
        <v>67</v>
      </c>
      <c r="L28" s="203">
        <f>AVERAGE(139,136,110,105,150,134,109,149,118)</f>
        <v>127.77777777777777</v>
      </c>
      <c r="M28" s="204" t="s">
        <v>1092</v>
      </c>
      <c r="N28" s="203">
        <f>AVERAGE(149,160,188,200,245,204)</f>
        <v>191</v>
      </c>
      <c r="O28" s="204" t="s">
        <v>881</v>
      </c>
      <c r="P28" s="203">
        <v>165</v>
      </c>
      <c r="Q28" s="141" t="s">
        <v>821</v>
      </c>
      <c r="R28" s="186" t="s">
        <v>32</v>
      </c>
      <c r="S28" s="203">
        <v>197</v>
      </c>
      <c r="T28" s="141" t="s">
        <v>881</v>
      </c>
      <c r="U28" s="186" t="s">
        <v>32</v>
      </c>
    </row>
    <row r="29" spans="1:21" ht="12.6" customHeight="1">
      <c r="A29" s="59" t="s">
        <v>216</v>
      </c>
      <c r="B29" s="59" t="s">
        <v>270</v>
      </c>
      <c r="C29" s="27" t="s">
        <v>271</v>
      </c>
      <c r="D29" s="41">
        <v>4.5</v>
      </c>
      <c r="E29" s="33" t="s">
        <v>16</v>
      </c>
      <c r="F29" s="86" t="s">
        <v>215</v>
      </c>
      <c r="G29" s="55">
        <v>1.8</v>
      </c>
      <c r="H29" s="56">
        <v>0.875</v>
      </c>
      <c r="I29" s="27">
        <v>158</v>
      </c>
      <c r="J29" s="27">
        <v>74.5</v>
      </c>
      <c r="K29" s="33">
        <v>58</v>
      </c>
      <c r="L29" s="26">
        <f>AVERAGE(117,125,109,119,120,87,125,175,100)</f>
        <v>119.66666666666667</v>
      </c>
      <c r="M29" s="42" t="s">
        <v>1008</v>
      </c>
      <c r="N29" s="26">
        <f>AVERAGE(140,140,220,185,177,215,198,200,195)</f>
        <v>185.55555555555554</v>
      </c>
      <c r="O29" s="42" t="s">
        <v>881</v>
      </c>
      <c r="P29" s="26">
        <v>150</v>
      </c>
      <c r="Q29" s="27" t="s">
        <v>881</v>
      </c>
      <c r="R29" s="33" t="s">
        <v>32</v>
      </c>
      <c r="S29" s="26">
        <v>350</v>
      </c>
      <c r="T29" s="27" t="s">
        <v>593</v>
      </c>
      <c r="U29" s="33" t="s">
        <v>32</v>
      </c>
    </row>
    <row r="30" spans="1:21" ht="12.6" customHeight="1">
      <c r="A30" s="75" t="s">
        <v>16</v>
      </c>
      <c r="B30" s="75" t="s">
        <v>16</v>
      </c>
      <c r="C30" s="15" t="s">
        <v>16</v>
      </c>
      <c r="D30" s="14" t="s">
        <v>16</v>
      </c>
      <c r="E30" s="15" t="s">
        <v>16</v>
      </c>
      <c r="F30" s="17" t="s">
        <v>16</v>
      </c>
      <c r="G30" s="48" t="s">
        <v>16</v>
      </c>
      <c r="H30" s="74" t="s">
        <v>16</v>
      </c>
      <c r="I30" s="15" t="s">
        <v>16</v>
      </c>
      <c r="J30" s="15" t="s">
        <v>16</v>
      </c>
      <c r="K30" s="15" t="s">
        <v>16</v>
      </c>
      <c r="L30" s="15" t="s">
        <v>558</v>
      </c>
      <c r="M30" s="15" t="s">
        <v>16</v>
      </c>
      <c r="N30" s="15" t="s">
        <v>16</v>
      </c>
      <c r="O30" s="15" t="s">
        <v>16</v>
      </c>
      <c r="P30" s="15" t="s">
        <v>16</v>
      </c>
      <c r="Q30" s="15" t="s">
        <v>16</v>
      </c>
      <c r="R30" s="15" t="s">
        <v>16</v>
      </c>
      <c r="S30" s="15" t="s">
        <v>16</v>
      </c>
      <c r="T30" s="15" t="s">
        <v>16</v>
      </c>
      <c r="U30" s="15" t="s">
        <v>16</v>
      </c>
    </row>
    <row r="31" spans="1:21" s="37" customFormat="1" ht="12.6" customHeight="1">
      <c r="A31" s="121" t="s">
        <v>715</v>
      </c>
      <c r="B31" s="68"/>
      <c r="C31" s="28" t="s">
        <v>16</v>
      </c>
      <c r="D31" s="69" t="s">
        <v>16</v>
      </c>
      <c r="E31" s="28" t="s">
        <v>16</v>
      </c>
      <c r="F31" s="72" t="s">
        <v>16</v>
      </c>
      <c r="G31" s="70" t="s">
        <v>16</v>
      </c>
      <c r="H31" s="71" t="s">
        <v>16</v>
      </c>
      <c r="I31" s="28" t="s">
        <v>16</v>
      </c>
      <c r="J31" s="28" t="s">
        <v>16</v>
      </c>
      <c r="K31" s="28" t="s">
        <v>16</v>
      </c>
      <c r="L31" s="28" t="s">
        <v>16</v>
      </c>
      <c r="M31" s="28" t="s">
        <v>16</v>
      </c>
      <c r="N31" s="28" t="s">
        <v>16</v>
      </c>
      <c r="O31" s="28" t="s">
        <v>16</v>
      </c>
      <c r="P31" s="28" t="s">
        <v>16</v>
      </c>
      <c r="Q31" s="28" t="s">
        <v>16</v>
      </c>
      <c r="R31" s="28" t="s">
        <v>16</v>
      </c>
      <c r="S31" s="28" t="s">
        <v>16</v>
      </c>
      <c r="T31" s="28" t="s">
        <v>16</v>
      </c>
      <c r="U31" s="28" t="s">
        <v>16</v>
      </c>
    </row>
    <row r="32" spans="1:21" ht="12.6" customHeight="1">
      <c r="A32" s="75" t="s">
        <v>25</v>
      </c>
      <c r="B32" s="75" t="s">
        <v>514</v>
      </c>
      <c r="C32" s="15">
        <v>60</v>
      </c>
      <c r="D32" s="14" t="s">
        <v>125</v>
      </c>
      <c r="E32" s="31">
        <f t="shared" ref="E32:E35" si="2">1.6*C32</f>
        <v>96</v>
      </c>
      <c r="F32" s="85" t="s">
        <v>217</v>
      </c>
      <c r="G32" s="48">
        <v>0.6</v>
      </c>
      <c r="H32" s="74">
        <v>0.56999999999999995</v>
      </c>
      <c r="I32" s="15">
        <v>84</v>
      </c>
      <c r="J32" s="15">
        <v>81</v>
      </c>
      <c r="K32" s="31">
        <v>67</v>
      </c>
      <c r="L32" s="25">
        <f>AVERAGE(599,632,650,699,580,511,680,762)</f>
        <v>639.125</v>
      </c>
      <c r="M32" s="39" t="s">
        <v>835</v>
      </c>
      <c r="N32" s="25">
        <f>AVERAGE(890,983,1016,965,1331,750,1195,973,885)</f>
        <v>998.66666666666663</v>
      </c>
      <c r="O32" s="39" t="s">
        <v>881</v>
      </c>
      <c r="P32" s="25" t="s">
        <v>16</v>
      </c>
      <c r="Q32" s="16" t="s">
        <v>16</v>
      </c>
      <c r="R32" s="31" t="s">
        <v>16</v>
      </c>
      <c r="S32" s="25" t="s">
        <v>16</v>
      </c>
      <c r="T32" s="16" t="s">
        <v>16</v>
      </c>
      <c r="U32" s="31" t="s">
        <v>16</v>
      </c>
    </row>
    <row r="33" spans="1:21" ht="12.6" customHeight="1">
      <c r="A33" s="75" t="s">
        <v>25</v>
      </c>
      <c r="B33" s="75" t="s">
        <v>219</v>
      </c>
      <c r="C33" s="15">
        <v>80</v>
      </c>
      <c r="D33" s="14" t="s">
        <v>151</v>
      </c>
      <c r="E33" s="31">
        <f t="shared" si="2"/>
        <v>128</v>
      </c>
      <c r="F33" s="85" t="s">
        <v>217</v>
      </c>
      <c r="G33" s="48">
        <v>0.6</v>
      </c>
      <c r="H33" s="74">
        <v>0.5</v>
      </c>
      <c r="I33" s="15">
        <v>72</v>
      </c>
      <c r="J33" s="15">
        <v>84</v>
      </c>
      <c r="K33" s="31">
        <v>67</v>
      </c>
      <c r="L33" s="25">
        <f>AVERAGE(890,600,837,853,692,769,764,860,880,841,700,725,853)</f>
        <v>789.53846153846155</v>
      </c>
      <c r="M33" s="39" t="s">
        <v>881</v>
      </c>
      <c r="N33" s="25">
        <f>AVERAGE(1128,940,1281,1280,1065,1044,1221,1021,1031)</f>
        <v>1112.3333333333333</v>
      </c>
      <c r="O33" s="39" t="s">
        <v>755</v>
      </c>
      <c r="P33" s="25" t="s">
        <v>16</v>
      </c>
      <c r="Q33" s="16" t="s">
        <v>16</v>
      </c>
      <c r="R33" s="31" t="s">
        <v>16</v>
      </c>
      <c r="S33" s="25">
        <v>1145</v>
      </c>
      <c r="T33" s="16" t="s">
        <v>773</v>
      </c>
      <c r="U33" s="31" t="s">
        <v>28</v>
      </c>
    </row>
    <row r="34" spans="1:21" ht="12.6" customHeight="1">
      <c r="A34" s="75" t="s">
        <v>25</v>
      </c>
      <c r="B34" s="75" t="s">
        <v>517</v>
      </c>
      <c r="C34" s="15">
        <v>150</v>
      </c>
      <c r="D34" s="14" t="s">
        <v>126</v>
      </c>
      <c r="E34" s="31">
        <f t="shared" si="2"/>
        <v>240</v>
      </c>
      <c r="F34" s="85" t="s">
        <v>217</v>
      </c>
      <c r="G34" s="48">
        <v>1.5</v>
      </c>
      <c r="H34" s="74">
        <v>0.76</v>
      </c>
      <c r="I34" s="15">
        <v>101</v>
      </c>
      <c r="J34" s="15">
        <v>84</v>
      </c>
      <c r="K34" s="31">
        <v>67</v>
      </c>
      <c r="L34" s="25">
        <f>AVERAGE(595,511,513)</f>
        <v>539.66666666666663</v>
      </c>
      <c r="M34" s="39" t="s">
        <v>807</v>
      </c>
      <c r="N34" s="25">
        <f>AVERAGE(985,998,981)</f>
        <v>988</v>
      </c>
      <c r="O34" s="39" t="s">
        <v>837</v>
      </c>
      <c r="P34" s="25" t="s">
        <v>16</v>
      </c>
      <c r="Q34" s="16" t="s">
        <v>16</v>
      </c>
      <c r="R34" s="31" t="s">
        <v>16</v>
      </c>
      <c r="S34" s="25" t="s">
        <v>16</v>
      </c>
      <c r="T34" s="16" t="s">
        <v>16</v>
      </c>
      <c r="U34" s="31" t="s">
        <v>16</v>
      </c>
    </row>
    <row r="35" spans="1:21" ht="12.6" customHeight="1">
      <c r="A35" s="144" t="s">
        <v>25</v>
      </c>
      <c r="B35" s="144" t="s">
        <v>518</v>
      </c>
      <c r="C35" s="27">
        <v>250</v>
      </c>
      <c r="D35" s="41" t="s">
        <v>516</v>
      </c>
      <c r="E35" s="33">
        <f t="shared" si="2"/>
        <v>400</v>
      </c>
      <c r="F35" s="86" t="s">
        <v>217</v>
      </c>
      <c r="G35" s="55">
        <v>3</v>
      </c>
      <c r="H35" s="56">
        <v>0.9</v>
      </c>
      <c r="I35" s="27">
        <v>168</v>
      </c>
      <c r="J35" s="27">
        <v>84</v>
      </c>
      <c r="K35" s="33">
        <v>67</v>
      </c>
      <c r="L35" s="26">
        <f>AVERAGE(660)</f>
        <v>660</v>
      </c>
      <c r="M35" s="42" t="s">
        <v>519</v>
      </c>
      <c r="N35" s="26">
        <f>AVERAGE(1350)</f>
        <v>1350</v>
      </c>
      <c r="O35" s="42" t="s">
        <v>593</v>
      </c>
      <c r="P35" s="26" t="s">
        <v>16</v>
      </c>
      <c r="Q35" s="27" t="s">
        <v>16</v>
      </c>
      <c r="R35" s="33" t="s">
        <v>16</v>
      </c>
      <c r="S35" s="26" t="s">
        <v>16</v>
      </c>
      <c r="T35" s="27" t="s">
        <v>16</v>
      </c>
      <c r="U35" s="33" t="s">
        <v>16</v>
      </c>
    </row>
    <row r="36" spans="1:21" ht="12.6" customHeight="1">
      <c r="A36" s="75" t="s">
        <v>16</v>
      </c>
      <c r="B36" s="200" t="s">
        <v>16</v>
      </c>
      <c r="C36" s="15" t="s">
        <v>16</v>
      </c>
      <c r="D36" s="14" t="s">
        <v>16</v>
      </c>
      <c r="E36" s="15" t="s">
        <v>16</v>
      </c>
      <c r="F36" s="17" t="s">
        <v>16</v>
      </c>
      <c r="G36" s="15" t="s">
        <v>16</v>
      </c>
      <c r="H36" s="74" t="s">
        <v>16</v>
      </c>
      <c r="I36" s="15" t="s">
        <v>16</v>
      </c>
      <c r="J36" s="15" t="s">
        <v>16</v>
      </c>
      <c r="K36" s="15" t="s">
        <v>16</v>
      </c>
      <c r="L36" s="15" t="s">
        <v>16</v>
      </c>
      <c r="M36" s="15" t="s">
        <v>16</v>
      </c>
      <c r="N36" s="15" t="s">
        <v>16</v>
      </c>
      <c r="O36" s="15" t="s">
        <v>16</v>
      </c>
      <c r="P36" s="15" t="s">
        <v>16</v>
      </c>
      <c r="Q36" s="15" t="s">
        <v>16</v>
      </c>
      <c r="R36" s="15" t="s">
        <v>16</v>
      </c>
      <c r="S36" s="15" t="s">
        <v>16</v>
      </c>
      <c r="T36" s="15" t="s">
        <v>16</v>
      </c>
      <c r="U36" s="15" t="s">
        <v>16</v>
      </c>
    </row>
    <row r="37" spans="1:21" s="37" customFormat="1" ht="12.6" customHeight="1">
      <c r="A37" s="121" t="s">
        <v>716</v>
      </c>
      <c r="B37" s="68"/>
      <c r="C37" s="28" t="s">
        <v>16</v>
      </c>
      <c r="D37" s="69" t="s">
        <v>16</v>
      </c>
      <c r="E37" s="28" t="s">
        <v>16</v>
      </c>
      <c r="F37" s="72" t="s">
        <v>16</v>
      </c>
      <c r="G37" s="70" t="s">
        <v>16</v>
      </c>
      <c r="H37" s="71" t="s">
        <v>16</v>
      </c>
      <c r="I37" s="28" t="s">
        <v>16</v>
      </c>
      <c r="J37" s="28" t="s">
        <v>16</v>
      </c>
      <c r="K37" s="28" t="s">
        <v>16</v>
      </c>
      <c r="L37" s="28" t="s">
        <v>16</v>
      </c>
      <c r="M37" s="28" t="s">
        <v>16</v>
      </c>
      <c r="N37" s="28" t="s">
        <v>16</v>
      </c>
      <c r="O37" s="28" t="s">
        <v>16</v>
      </c>
      <c r="P37" s="28" t="s">
        <v>16</v>
      </c>
      <c r="Q37" s="28" t="s">
        <v>16</v>
      </c>
      <c r="R37" s="28" t="s">
        <v>16</v>
      </c>
      <c r="S37" s="28" t="s">
        <v>16</v>
      </c>
      <c r="T37" s="28" t="s">
        <v>16</v>
      </c>
      <c r="U37" s="28" t="s">
        <v>16</v>
      </c>
    </row>
    <row r="38" spans="1:21" ht="12.6" customHeight="1">
      <c r="A38" s="143" t="s">
        <v>122</v>
      </c>
      <c r="B38" s="143" t="s">
        <v>707</v>
      </c>
      <c r="C38" s="16">
        <v>35</v>
      </c>
      <c r="D38" s="18" t="s">
        <v>125</v>
      </c>
      <c r="E38" s="31">
        <v>56</v>
      </c>
      <c r="F38" s="85" t="s">
        <v>706</v>
      </c>
      <c r="G38" s="44">
        <v>0.3</v>
      </c>
      <c r="H38" s="53">
        <v>0.47</v>
      </c>
      <c r="I38" s="16">
        <v>67</v>
      </c>
      <c r="J38" s="16">
        <v>80</v>
      </c>
      <c r="K38" s="31">
        <v>77</v>
      </c>
      <c r="L38" s="25">
        <f>AVERAGE(299,489,495,450,488,460,500,550,360,440,400,480)</f>
        <v>450.91666666666669</v>
      </c>
      <c r="M38" s="39" t="s">
        <v>1092</v>
      </c>
      <c r="N38" s="25">
        <f>AVERAGE(560,539,574,598,604,590,588,560,649)</f>
        <v>584.66666666666663</v>
      </c>
      <c r="O38" s="39" t="s">
        <v>1092</v>
      </c>
      <c r="P38" s="25">
        <v>610</v>
      </c>
      <c r="Q38" s="16" t="s">
        <v>821</v>
      </c>
      <c r="R38" s="31" t="s">
        <v>33</v>
      </c>
      <c r="S38" s="25" t="s">
        <v>16</v>
      </c>
      <c r="T38" s="16" t="s">
        <v>16</v>
      </c>
      <c r="U38" s="31" t="s">
        <v>16</v>
      </c>
    </row>
    <row r="39" spans="1:21" ht="12.6" customHeight="1">
      <c r="A39" s="143" t="s">
        <v>122</v>
      </c>
      <c r="B39" s="143" t="s">
        <v>705</v>
      </c>
      <c r="C39" s="16">
        <v>35</v>
      </c>
      <c r="D39" s="18" t="s">
        <v>125</v>
      </c>
      <c r="E39" s="31">
        <v>56</v>
      </c>
      <c r="F39" s="85" t="s">
        <v>706</v>
      </c>
      <c r="G39" s="44">
        <v>0.3</v>
      </c>
      <c r="H39" s="53">
        <v>0.56000000000000005</v>
      </c>
      <c r="I39" s="16">
        <v>90</v>
      </c>
      <c r="J39" s="16">
        <v>88</v>
      </c>
      <c r="K39" s="31">
        <v>82</v>
      </c>
      <c r="L39" s="25">
        <f>AVERAGE(721,695,750,1000,999,1002,1278,1078,1048,979,894,885)</f>
        <v>944.08333333333337</v>
      </c>
      <c r="M39" s="39" t="s">
        <v>1001</v>
      </c>
      <c r="N39" s="25">
        <f>AVERAGE(1099,1150,1199,1200,1278,1198,1078,1092)</f>
        <v>1161.75</v>
      </c>
      <c r="O39" s="39" t="s">
        <v>862</v>
      </c>
      <c r="P39" s="25">
        <f>1299*CA.US</f>
        <v>987.24</v>
      </c>
      <c r="Q39" s="16" t="s">
        <v>821</v>
      </c>
      <c r="R39" s="31" t="s">
        <v>623</v>
      </c>
      <c r="S39" s="25" t="s">
        <v>16</v>
      </c>
      <c r="T39" s="16" t="s">
        <v>16</v>
      </c>
      <c r="U39" s="31" t="s">
        <v>16</v>
      </c>
    </row>
    <row r="40" spans="1:21" ht="12.6" customHeight="1">
      <c r="A40" s="143" t="s">
        <v>122</v>
      </c>
      <c r="B40" s="143" t="s">
        <v>708</v>
      </c>
      <c r="C40" s="16">
        <v>55</v>
      </c>
      <c r="D40" s="18">
        <v>2.8</v>
      </c>
      <c r="E40" s="31">
        <v>56</v>
      </c>
      <c r="F40" s="85" t="s">
        <v>706</v>
      </c>
      <c r="G40" s="44">
        <v>0.45</v>
      </c>
      <c r="H40" s="53">
        <v>0.41</v>
      </c>
      <c r="I40" s="16">
        <v>60.5</v>
      </c>
      <c r="J40" s="16">
        <v>74</v>
      </c>
      <c r="K40" s="31">
        <v>58</v>
      </c>
      <c r="L40" s="25">
        <f>AVERAGE(124,138,115,130,119,120,105,126,129)</f>
        <v>122.88888888888889</v>
      </c>
      <c r="M40" s="39" t="s">
        <v>1092</v>
      </c>
      <c r="N40" s="25">
        <f>AVERAGE(190,156,159,170,199,197,210,190,180,189)</f>
        <v>184</v>
      </c>
      <c r="O40" s="39" t="s">
        <v>1092</v>
      </c>
      <c r="P40" s="25">
        <v>200</v>
      </c>
      <c r="Q40" s="16" t="s">
        <v>821</v>
      </c>
      <c r="R40" s="31" t="s">
        <v>32</v>
      </c>
      <c r="S40" s="25">
        <v>220</v>
      </c>
      <c r="T40" s="16" t="s">
        <v>881</v>
      </c>
      <c r="U40" s="31" t="s">
        <v>32</v>
      </c>
    </row>
    <row r="41" spans="1:21" ht="12.6" customHeight="1">
      <c r="A41" s="143" t="s">
        <v>122</v>
      </c>
      <c r="B41" s="143" t="s">
        <v>711</v>
      </c>
      <c r="C41" s="16">
        <v>55</v>
      </c>
      <c r="D41" s="18">
        <v>2.8</v>
      </c>
      <c r="E41" s="31">
        <v>56</v>
      </c>
      <c r="F41" s="85" t="s">
        <v>706</v>
      </c>
      <c r="G41" s="44">
        <v>0.5</v>
      </c>
      <c r="H41" s="53">
        <v>0.41599999999999998</v>
      </c>
      <c r="I41" s="16">
        <v>68.2</v>
      </c>
      <c r="J41" s="16">
        <v>81.3</v>
      </c>
      <c r="K41" s="31">
        <v>67</v>
      </c>
      <c r="L41" s="25">
        <f t="shared" ref="L41" si="3">AVERAGE(0)</f>
        <v>0</v>
      </c>
      <c r="M41" s="39" t="s">
        <v>16</v>
      </c>
      <c r="N41" s="25">
        <f t="shared" ref="N41" si="4">AVERAGE(0)</f>
        <v>0</v>
      </c>
      <c r="O41" s="39" t="s">
        <v>16</v>
      </c>
      <c r="P41" s="25" t="s">
        <v>16</v>
      </c>
      <c r="Q41" s="16" t="s">
        <v>16</v>
      </c>
      <c r="R41" s="31" t="s">
        <v>16</v>
      </c>
      <c r="S41" s="25">
        <v>920</v>
      </c>
      <c r="T41" s="16" t="s">
        <v>723</v>
      </c>
      <c r="U41" s="31" t="s">
        <v>30</v>
      </c>
    </row>
    <row r="42" spans="1:21" ht="12.6" customHeight="1">
      <c r="A42" s="143" t="s">
        <v>122</v>
      </c>
      <c r="B42" s="143" t="s">
        <v>713</v>
      </c>
      <c r="C42" s="16">
        <v>75</v>
      </c>
      <c r="D42" s="18">
        <v>2.8</v>
      </c>
      <c r="E42" s="31">
        <v>56</v>
      </c>
      <c r="F42" s="85" t="s">
        <v>706</v>
      </c>
      <c r="G42" s="44">
        <v>0.6</v>
      </c>
      <c r="H42" s="53">
        <v>0.24</v>
      </c>
      <c r="I42" s="16">
        <v>37.5</v>
      </c>
      <c r="J42" s="16">
        <v>74</v>
      </c>
      <c r="K42" s="31">
        <v>58</v>
      </c>
      <c r="L42" s="25">
        <f>AVERAGE(135,145,159,169,170,125,135,158,169,135)</f>
        <v>150</v>
      </c>
      <c r="M42" s="39" t="s">
        <v>1092</v>
      </c>
      <c r="N42" s="25">
        <f>AVERAGE(230,350,398,295,200,248,258)</f>
        <v>282.71428571428572</v>
      </c>
      <c r="O42" s="39" t="s">
        <v>1092</v>
      </c>
      <c r="P42" s="25">
        <f>149*CA.US</f>
        <v>113.24</v>
      </c>
      <c r="Q42" s="16" t="s">
        <v>821</v>
      </c>
      <c r="R42" s="31" t="s">
        <v>623</v>
      </c>
      <c r="S42" s="25">
        <v>315</v>
      </c>
      <c r="T42" s="16" t="s">
        <v>862</v>
      </c>
      <c r="U42" s="31" t="s">
        <v>512</v>
      </c>
    </row>
    <row r="43" spans="1:21" ht="12.6" customHeight="1">
      <c r="A43" s="143" t="s">
        <v>122</v>
      </c>
      <c r="B43" s="143" t="s">
        <v>714</v>
      </c>
      <c r="C43" s="16">
        <v>75</v>
      </c>
      <c r="D43" s="18">
        <v>2.8</v>
      </c>
      <c r="E43" s="31">
        <v>56</v>
      </c>
      <c r="F43" s="85" t="s">
        <v>706</v>
      </c>
      <c r="G43" s="44">
        <v>0.6</v>
      </c>
      <c r="H43" s="53">
        <v>0.215</v>
      </c>
      <c r="I43" s="19">
        <v>37.5</v>
      </c>
      <c r="J43" s="16">
        <v>74.5</v>
      </c>
      <c r="K43" s="31">
        <v>58</v>
      </c>
      <c r="L43" s="25">
        <f>AVERAGE(240,203,149,199,211,200,248,226)</f>
        <v>209.5</v>
      </c>
      <c r="M43" s="39" t="s">
        <v>1001</v>
      </c>
      <c r="N43" s="25">
        <f>AVERAGE(399,370,398,378,347,351,399,369,379,389)</f>
        <v>377.9</v>
      </c>
      <c r="O43" s="39" t="s">
        <v>1092</v>
      </c>
      <c r="P43" s="25" t="s">
        <v>16</v>
      </c>
      <c r="Q43" s="16" t="s">
        <v>16</v>
      </c>
      <c r="R43" s="31" t="s">
        <v>16</v>
      </c>
      <c r="S43" s="25" t="s">
        <v>16</v>
      </c>
      <c r="T43" s="16" t="s">
        <v>16</v>
      </c>
      <c r="U43" s="31" t="s">
        <v>16</v>
      </c>
    </row>
    <row r="44" spans="1:21" ht="12.6" customHeight="1">
      <c r="A44" s="143" t="s">
        <v>122</v>
      </c>
      <c r="B44" s="143" t="s">
        <v>709</v>
      </c>
      <c r="C44" s="16">
        <v>120</v>
      </c>
      <c r="D44" s="18" t="s">
        <v>126</v>
      </c>
      <c r="E44" s="31">
        <v>56</v>
      </c>
      <c r="F44" s="85" t="s">
        <v>706</v>
      </c>
      <c r="G44" s="44">
        <v>0.39</v>
      </c>
      <c r="H44" s="53">
        <v>0.69499999999999995</v>
      </c>
      <c r="I44" s="19">
        <v>110</v>
      </c>
      <c r="J44" s="16">
        <v>78.5</v>
      </c>
      <c r="K44" s="31">
        <v>67</v>
      </c>
      <c r="L44" s="25">
        <f>AVERAGE(176,209,214,200,170,215,165,192,184,190,239)</f>
        <v>195.81818181818181</v>
      </c>
      <c r="M44" s="39" t="s">
        <v>1092</v>
      </c>
      <c r="N44" s="25">
        <f>AVERAGE(264,252,250,265,288,334,270,357,260,280,260)</f>
        <v>280</v>
      </c>
      <c r="O44" s="39" t="s">
        <v>1092</v>
      </c>
      <c r="P44" s="25" t="s">
        <v>16</v>
      </c>
      <c r="Q44" s="16" t="s">
        <v>16</v>
      </c>
      <c r="R44" s="31" t="s">
        <v>16</v>
      </c>
      <c r="S44" s="25">
        <v>350</v>
      </c>
      <c r="T44" s="16" t="s">
        <v>723</v>
      </c>
      <c r="U44" s="31" t="s">
        <v>35</v>
      </c>
    </row>
    <row r="45" spans="1:21" ht="12.6" customHeight="1">
      <c r="A45" s="144" t="s">
        <v>122</v>
      </c>
      <c r="B45" s="144" t="s">
        <v>710</v>
      </c>
      <c r="C45" s="27">
        <v>120</v>
      </c>
      <c r="D45" s="41">
        <v>4</v>
      </c>
      <c r="E45" s="33">
        <v>56</v>
      </c>
      <c r="F45" s="86" t="s">
        <v>706</v>
      </c>
      <c r="G45" s="55">
        <v>0.39500000000000002</v>
      </c>
      <c r="H45" s="56">
        <v>0.73499999999999999</v>
      </c>
      <c r="I45" s="27">
        <v>110</v>
      </c>
      <c r="J45" s="27">
        <v>82.5</v>
      </c>
      <c r="K45" s="33">
        <v>67</v>
      </c>
      <c r="L45" s="26">
        <f>AVERAGE(270,258,225,243)</f>
        <v>249</v>
      </c>
      <c r="M45" s="42" t="s">
        <v>862</v>
      </c>
      <c r="N45" s="26">
        <f>AVERAGE(580,538,712,716,547,644,663,649)</f>
        <v>631.125</v>
      </c>
      <c r="O45" s="42" t="s">
        <v>1092</v>
      </c>
      <c r="P45" s="26" t="s">
        <v>16</v>
      </c>
      <c r="Q45" s="27" t="s">
        <v>16</v>
      </c>
      <c r="R45" s="33" t="s">
        <v>16</v>
      </c>
      <c r="S45" s="26" t="s">
        <v>16</v>
      </c>
      <c r="T45" s="27" t="s">
        <v>16</v>
      </c>
      <c r="U45" s="33" t="s">
        <v>16</v>
      </c>
    </row>
    <row r="46" spans="1:21" ht="12.6" customHeight="1">
      <c r="G46" s="15"/>
    </row>
  </sheetData>
  <sheetProtection password="990B" sheet="1" objects="1" scenarios="1"/>
  <phoneticPr fontId="0" type="noConversion"/>
  <conditionalFormatting sqref="R7 U7 R32:R34 U32:U34 U22:U24 R22:R24 U18:U20 R18:R20 R9:R12 U9:U12 U14:U16 R14:R16 R26:R29 U26:U29">
    <cfRule type="cellIs" dxfId="169" priority="55" stopIfTrue="1" operator="lessThan">
      <formula>".07-00"</formula>
    </cfRule>
  </conditionalFormatting>
  <conditionalFormatting sqref="O1:O7 M23:M24 M31:M34 O36 M36 O22:O24 M1:M7 O46:O65523 M46:M65523 M18:M20 O18:O20 O31:O34 M9:M12 O9:O12 O14:O16 M14:M16 O26:O29 M26:M29">
    <cfRule type="cellIs" dxfId="168" priority="56" stopIfTrue="1" operator="lessThan">
      <formula>".08-09"</formula>
    </cfRule>
  </conditionalFormatting>
  <conditionalFormatting sqref="M37 O37">
    <cfRule type="cellIs" dxfId="167" priority="53" stopIfTrue="1" operator="lessThan">
      <formula>".08-09"</formula>
    </cfRule>
  </conditionalFormatting>
  <conditionalFormatting sqref="R38 U38">
    <cfRule type="cellIs" dxfId="166" priority="47" stopIfTrue="1" operator="lessThan">
      <formula>".07-00"</formula>
    </cfRule>
  </conditionalFormatting>
  <conditionalFormatting sqref="O38 M38">
    <cfRule type="cellIs" dxfId="165" priority="48" stopIfTrue="1" operator="lessThan">
      <formula>".08-09"</formula>
    </cfRule>
  </conditionalFormatting>
  <conditionalFormatting sqref="R39:R43 U39:U43">
    <cfRule type="cellIs" dxfId="164" priority="43" stopIfTrue="1" operator="lessThan">
      <formula>".07-00"</formula>
    </cfRule>
  </conditionalFormatting>
  <conditionalFormatting sqref="O39:O43 M39">
    <cfRule type="cellIs" dxfId="163" priority="44" stopIfTrue="1" operator="lessThan">
      <formula>".08-09"</formula>
    </cfRule>
  </conditionalFormatting>
  <conditionalFormatting sqref="M40:M43">
    <cfRule type="cellIs" dxfId="162" priority="42" stopIfTrue="1" operator="lessThan">
      <formula>".08-09"</formula>
    </cfRule>
  </conditionalFormatting>
  <conditionalFormatting sqref="R35 U35">
    <cfRule type="cellIs" dxfId="161" priority="40" stopIfTrue="1" operator="lessThan">
      <formula>".07-00"</formula>
    </cfRule>
  </conditionalFormatting>
  <conditionalFormatting sqref="O35 M35">
    <cfRule type="cellIs" dxfId="160" priority="41" stopIfTrue="1" operator="lessThan">
      <formula>".08-09"</formula>
    </cfRule>
  </conditionalFormatting>
  <conditionalFormatting sqref="R45 U45">
    <cfRule type="cellIs" dxfId="159" priority="38" stopIfTrue="1" operator="lessThan">
      <formula>".07-00"</formula>
    </cfRule>
  </conditionalFormatting>
  <conditionalFormatting sqref="O45 M45">
    <cfRule type="cellIs" dxfId="158" priority="39" stopIfTrue="1" operator="lessThan">
      <formula>".08-09"</formula>
    </cfRule>
  </conditionalFormatting>
  <conditionalFormatting sqref="R44 U44">
    <cfRule type="cellIs" dxfId="157" priority="36" stopIfTrue="1" operator="lessThan">
      <formula>".07-00"</formula>
    </cfRule>
  </conditionalFormatting>
  <conditionalFormatting sqref="O44">
    <cfRule type="cellIs" dxfId="156" priority="37" stopIfTrue="1" operator="lessThan">
      <formula>".08-09"</formula>
    </cfRule>
  </conditionalFormatting>
  <conditionalFormatting sqref="M44">
    <cfRule type="cellIs" dxfId="155" priority="35" stopIfTrue="1" operator="lessThan">
      <formula>".08-09"</formula>
    </cfRule>
  </conditionalFormatting>
  <conditionalFormatting sqref="U21 R21">
    <cfRule type="cellIs" dxfId="154" priority="27" stopIfTrue="1" operator="lessThan">
      <formula>".07-00"</formula>
    </cfRule>
  </conditionalFormatting>
  <conditionalFormatting sqref="O21">
    <cfRule type="cellIs" dxfId="153" priority="28" stopIfTrue="1" operator="lessThan">
      <formula>".08-09"</formula>
    </cfRule>
  </conditionalFormatting>
  <conditionalFormatting sqref="R21 U21">
    <cfRule type="cellIs" dxfId="152" priority="25" stopIfTrue="1" operator="lessThan">
      <formula>".07-00"</formula>
    </cfRule>
  </conditionalFormatting>
  <conditionalFormatting sqref="O21 M21">
    <cfRule type="cellIs" dxfId="151" priority="26" stopIfTrue="1" operator="lessThan">
      <formula>".08-09"</formula>
    </cfRule>
  </conditionalFormatting>
  <conditionalFormatting sqref="U22 R22">
    <cfRule type="cellIs" dxfId="150" priority="23" stopIfTrue="1" operator="lessThan">
      <formula>".07-00"</formula>
    </cfRule>
  </conditionalFormatting>
  <conditionalFormatting sqref="O22">
    <cfRule type="cellIs" dxfId="149" priority="24" stopIfTrue="1" operator="lessThan">
      <formula>".08-09"</formula>
    </cfRule>
  </conditionalFormatting>
  <conditionalFormatting sqref="U17 R17">
    <cfRule type="cellIs" dxfId="148" priority="7" stopIfTrue="1" operator="lessThan">
      <formula>".07-00"</formula>
    </cfRule>
  </conditionalFormatting>
  <conditionalFormatting sqref="M17 O17">
    <cfRule type="cellIs" dxfId="147" priority="8" stopIfTrue="1" operator="lessThan">
      <formula>".08-09"</formula>
    </cfRule>
  </conditionalFormatting>
  <conditionalFormatting sqref="U8 R8">
    <cfRule type="cellIs" dxfId="146" priority="5" stopIfTrue="1" operator="lessThan">
      <formula>".07-00"</formula>
    </cfRule>
  </conditionalFormatting>
  <conditionalFormatting sqref="M8 O8">
    <cfRule type="cellIs" dxfId="145" priority="6" stopIfTrue="1" operator="lessThan">
      <formula>".08-09"</formula>
    </cfRule>
  </conditionalFormatting>
  <conditionalFormatting sqref="U13 R13">
    <cfRule type="cellIs" dxfId="144" priority="3" stopIfTrue="1" operator="lessThan">
      <formula>".07-00"</formula>
    </cfRule>
  </conditionalFormatting>
  <conditionalFormatting sqref="O13 M13">
    <cfRule type="cellIs" dxfId="143" priority="4" stopIfTrue="1" operator="lessThan">
      <formula>".08-09"</formula>
    </cfRule>
  </conditionalFormatting>
  <conditionalFormatting sqref="U25 R25">
    <cfRule type="cellIs" dxfId="142" priority="1" stopIfTrue="1" operator="lessThan">
      <formula>".07-00"</formula>
    </cfRule>
  </conditionalFormatting>
  <conditionalFormatting sqref="M25 O25">
    <cfRule type="cellIs" dxfId="141" priority="2"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D7:D11 D18:D20 D13 D14 D12 D15:D17 D23:D4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77"/>
  <sheetViews>
    <sheetView zoomScaleNormal="100" workbookViewId="0"/>
  </sheetViews>
  <sheetFormatPr defaultRowHeight="12.6" customHeight="1"/>
  <cols>
    <col min="1" max="1" width="8.7109375" style="75" customWidth="1"/>
    <col min="2" max="2" width="22.85546875" style="75" customWidth="1"/>
    <col min="3" max="3" width="6.28515625" style="15" customWidth="1"/>
    <col min="4" max="4" width="6.5703125" style="14" customWidth="1"/>
    <col min="5" max="5" width="6.5703125" style="15" customWidth="1"/>
    <col min="6" max="6" width="5.140625" style="17" customWidth="1"/>
    <col min="7" max="7" width="4.7109375" style="48" customWidth="1"/>
    <col min="8" max="8" width="4.7109375" style="74" customWidth="1"/>
    <col min="9" max="11" width="4.7109375" style="15" customWidth="1"/>
    <col min="12" max="20" width="5.28515625" style="15" customWidth="1"/>
    <col min="21" max="21" width="6.28515625" style="15" customWidth="1"/>
    <col min="22" max="22" width="2.7109375" style="17" customWidth="1"/>
    <col min="23" max="16384" width="9.140625" style="19"/>
  </cols>
  <sheetData>
    <row r="1" spans="1:22" ht="12.6" customHeight="1">
      <c r="A1" s="10" t="s">
        <v>155</v>
      </c>
      <c r="B1" s="30"/>
      <c r="C1" s="45" t="s">
        <v>16</v>
      </c>
      <c r="D1" s="30" t="s">
        <v>16</v>
      </c>
      <c r="E1" s="45"/>
      <c r="F1" s="30" t="s">
        <v>16</v>
      </c>
      <c r="G1" s="48" t="s">
        <v>16</v>
      </c>
      <c r="H1" s="74" t="s">
        <v>16</v>
      </c>
      <c r="I1" s="15" t="s">
        <v>16</v>
      </c>
      <c r="J1" s="60" t="s">
        <v>16</v>
      </c>
      <c r="K1" s="15" t="s">
        <v>16</v>
      </c>
      <c r="L1" s="16" t="s">
        <v>16</v>
      </c>
      <c r="M1" s="16" t="s">
        <v>16</v>
      </c>
      <c r="N1" s="16" t="s">
        <v>16</v>
      </c>
      <c r="O1" s="16" t="s">
        <v>16</v>
      </c>
      <c r="P1" s="16" t="s">
        <v>16</v>
      </c>
      <c r="Q1" s="19" t="str">
        <f>i!B3</f>
        <v>.2016-06-01</v>
      </c>
      <c r="S1" s="47"/>
      <c r="T1" s="16" t="s">
        <v>16</v>
      </c>
      <c r="U1" s="16" t="s">
        <v>16</v>
      </c>
    </row>
    <row r="2" spans="1:22" ht="12.6" customHeight="1">
      <c r="A2" s="37" t="str">
        <f>i!A3</f>
        <v>v.31</v>
      </c>
      <c r="F2" s="36"/>
      <c r="G2" s="44"/>
      <c r="H2" s="53"/>
      <c r="I2" s="16"/>
      <c r="J2" s="11"/>
      <c r="K2" s="16"/>
      <c r="L2" s="16"/>
      <c r="M2" s="18"/>
      <c r="N2" s="27"/>
      <c r="O2" s="18"/>
      <c r="P2" s="27"/>
      <c r="Q2" s="18"/>
      <c r="R2" s="27"/>
      <c r="S2" s="27"/>
      <c r="T2" s="18"/>
      <c r="U2" s="27"/>
    </row>
    <row r="3" spans="1:22" s="30" customFormat="1" ht="12.6" customHeight="1">
      <c r="A3" s="37" t="s">
        <v>16</v>
      </c>
      <c r="B3" s="30" t="s">
        <v>16</v>
      </c>
      <c r="C3" s="49" t="s">
        <v>16</v>
      </c>
      <c r="D3" s="21" t="s">
        <v>16</v>
      </c>
      <c r="E3" s="49"/>
      <c r="F3" s="77" t="s">
        <v>16</v>
      </c>
      <c r="G3" s="50" t="s">
        <v>16</v>
      </c>
      <c r="H3" s="50" t="s">
        <v>16</v>
      </c>
      <c r="I3" s="50" t="s">
        <v>16</v>
      </c>
      <c r="J3" s="27" t="s">
        <v>16</v>
      </c>
      <c r="K3" s="50" t="s">
        <v>16</v>
      </c>
      <c r="L3" s="78" t="s">
        <v>16</v>
      </c>
      <c r="M3" s="28" t="s">
        <v>16</v>
      </c>
      <c r="N3" s="28" t="s">
        <v>17</v>
      </c>
      <c r="O3" s="28" t="s">
        <v>16</v>
      </c>
      <c r="P3" s="136" t="s">
        <v>16</v>
      </c>
      <c r="Q3" s="90" t="s">
        <v>16</v>
      </c>
      <c r="R3" s="47" t="s">
        <v>18</v>
      </c>
      <c r="S3" s="27"/>
      <c r="T3" s="28" t="s">
        <v>16</v>
      </c>
      <c r="U3" s="33" t="s">
        <v>16</v>
      </c>
      <c r="V3" s="13"/>
    </row>
    <row r="4" spans="1:22" s="37" customFormat="1" ht="12.6" customHeight="1">
      <c r="A4" s="30" t="s">
        <v>16</v>
      </c>
      <c r="B4" s="30"/>
      <c r="C4" s="16" t="s">
        <v>6</v>
      </c>
      <c r="D4" s="18" t="s">
        <v>11</v>
      </c>
      <c r="E4" s="16" t="s">
        <v>761</v>
      </c>
      <c r="F4" s="89" t="s">
        <v>13</v>
      </c>
      <c r="G4" s="52" t="s">
        <v>277</v>
      </c>
      <c r="H4" s="130" t="s">
        <v>7</v>
      </c>
      <c r="I4" s="90" t="s">
        <v>325</v>
      </c>
      <c r="J4" s="90" t="s">
        <v>326</v>
      </c>
      <c r="K4" s="83" t="s">
        <v>327</v>
      </c>
      <c r="L4" s="32" t="s">
        <v>506</v>
      </c>
      <c r="M4" s="33"/>
      <c r="N4" s="34" t="s">
        <v>19</v>
      </c>
      <c r="O4" s="27"/>
      <c r="P4" s="138"/>
      <c r="Q4" s="28" t="s">
        <v>507</v>
      </c>
      <c r="R4" s="29"/>
      <c r="S4" s="135"/>
      <c r="T4" s="31" t="s">
        <v>9</v>
      </c>
      <c r="U4" s="31"/>
      <c r="V4" s="18"/>
    </row>
    <row r="5" spans="1:22" s="37" customFormat="1" ht="12.6" customHeight="1">
      <c r="A5" s="21" t="s">
        <v>630</v>
      </c>
      <c r="B5" s="38"/>
      <c r="C5" s="27" t="s">
        <v>20</v>
      </c>
      <c r="D5" s="41" t="s">
        <v>16</v>
      </c>
      <c r="E5" s="27" t="s">
        <v>20</v>
      </c>
      <c r="F5" s="84" t="s">
        <v>16</v>
      </c>
      <c r="G5" s="58" t="s">
        <v>37</v>
      </c>
      <c r="H5" s="53" t="s">
        <v>21</v>
      </c>
      <c r="I5" s="16" t="s">
        <v>20</v>
      </c>
      <c r="J5" s="16" t="s">
        <v>20</v>
      </c>
      <c r="K5" s="31" t="s">
        <v>20</v>
      </c>
      <c r="L5" s="26" t="s">
        <v>22</v>
      </c>
      <c r="M5" s="33" t="s">
        <v>23</v>
      </c>
      <c r="N5" s="27" t="s">
        <v>22</v>
      </c>
      <c r="O5" s="27" t="s">
        <v>23</v>
      </c>
      <c r="P5" s="26" t="s">
        <v>22</v>
      </c>
      <c r="Q5" s="27" t="s">
        <v>23</v>
      </c>
      <c r="R5" s="33" t="s">
        <v>24</v>
      </c>
      <c r="S5" s="35" t="s">
        <v>22</v>
      </c>
      <c r="T5" s="28" t="s">
        <v>23</v>
      </c>
      <c r="U5" s="29" t="s">
        <v>24</v>
      </c>
      <c r="V5" s="18"/>
    </row>
    <row r="6" spans="1:22" ht="12.6" customHeight="1">
      <c r="A6" s="161" t="s">
        <v>520</v>
      </c>
      <c r="B6" s="213" t="s">
        <v>977</v>
      </c>
      <c r="C6" s="141">
        <v>14</v>
      </c>
      <c r="D6" s="183">
        <v>2.8</v>
      </c>
      <c r="E6" s="141">
        <f t="shared" ref="E6:E16" si="0">C6*1.5</f>
        <v>21</v>
      </c>
      <c r="F6" s="288" t="s">
        <v>521</v>
      </c>
      <c r="G6" s="184">
        <v>0.18</v>
      </c>
      <c r="H6" s="300">
        <v>0.23499999999999999</v>
      </c>
      <c r="I6" s="292">
        <v>58.4</v>
      </c>
      <c r="J6" s="292">
        <v>65</v>
      </c>
      <c r="K6" s="218">
        <v>58</v>
      </c>
      <c r="L6" s="141">
        <f>AVERAGE(465,415,465,475,432,476,413,475,480,475)</f>
        <v>457.1</v>
      </c>
      <c r="M6" s="186" t="s">
        <v>1092</v>
      </c>
      <c r="N6" s="203">
        <f>AVERAGE(482,499,617,588,549,666,515)</f>
        <v>559.42857142857144</v>
      </c>
      <c r="O6" s="186" t="s">
        <v>1092</v>
      </c>
      <c r="P6" s="203">
        <v>645</v>
      </c>
      <c r="Q6" s="141" t="s">
        <v>734</v>
      </c>
      <c r="R6" s="186" t="s">
        <v>30</v>
      </c>
      <c r="S6" s="203">
        <v>560</v>
      </c>
      <c r="T6" s="141" t="s">
        <v>881</v>
      </c>
      <c r="U6" s="186" t="s">
        <v>757</v>
      </c>
    </row>
    <row r="7" spans="1:22" ht="12.6" customHeight="1">
      <c r="A7" s="161" t="s">
        <v>520</v>
      </c>
      <c r="B7" s="213" t="s">
        <v>978</v>
      </c>
      <c r="C7" s="141">
        <v>16</v>
      </c>
      <c r="D7" s="183">
        <v>1.4</v>
      </c>
      <c r="E7" s="141">
        <f t="shared" si="0"/>
        <v>24</v>
      </c>
      <c r="F7" s="288" t="s">
        <v>521</v>
      </c>
      <c r="G7" s="215">
        <v>0.15</v>
      </c>
      <c r="H7" s="216">
        <v>0.375</v>
      </c>
      <c r="I7" s="141">
        <v>73</v>
      </c>
      <c r="J7" s="141">
        <v>73.400000000000006</v>
      </c>
      <c r="K7" s="186">
        <v>67</v>
      </c>
      <c r="L7" s="141">
        <f>AVERAGE(635,599,673,699,650)</f>
        <v>651.20000000000005</v>
      </c>
      <c r="M7" s="186" t="s">
        <v>1092</v>
      </c>
      <c r="N7" s="203">
        <f>AVERAGE(839,750,799,775)</f>
        <v>790.75</v>
      </c>
      <c r="O7" s="186" t="s">
        <v>1092</v>
      </c>
      <c r="P7" s="203" t="s">
        <v>16</v>
      </c>
      <c r="Q7" s="141" t="s">
        <v>16</v>
      </c>
      <c r="R7" s="186" t="s">
        <v>16</v>
      </c>
      <c r="S7" s="281" t="s">
        <v>16</v>
      </c>
      <c r="T7" s="141" t="s">
        <v>16</v>
      </c>
      <c r="U7" s="186" t="s">
        <v>16</v>
      </c>
    </row>
    <row r="8" spans="1:22" ht="12.6" customHeight="1">
      <c r="A8" s="161" t="s">
        <v>520</v>
      </c>
      <c r="B8" s="213" t="s">
        <v>979</v>
      </c>
      <c r="C8" s="141">
        <v>18</v>
      </c>
      <c r="D8" s="183">
        <v>2</v>
      </c>
      <c r="E8" s="141">
        <f t="shared" si="0"/>
        <v>27</v>
      </c>
      <c r="F8" s="288" t="s">
        <v>521</v>
      </c>
      <c r="G8" s="215">
        <v>0.18</v>
      </c>
      <c r="H8" s="216">
        <v>0.11600000000000001</v>
      </c>
      <c r="I8" s="141">
        <v>40.6</v>
      </c>
      <c r="J8" s="141">
        <v>64.5</v>
      </c>
      <c r="K8" s="186">
        <v>52</v>
      </c>
      <c r="L8" s="141">
        <f>AVERAGE(265,209,271,265,273,250,239,259,255,255,203,265)</f>
        <v>250.75</v>
      </c>
      <c r="M8" s="186" t="s">
        <v>1001</v>
      </c>
      <c r="N8" s="203">
        <f>AVERAGE(301,285,299,295,280,299,300,320,308,270,325)</f>
        <v>298.36363636363637</v>
      </c>
      <c r="O8" s="186" t="s">
        <v>1092</v>
      </c>
      <c r="P8" s="203">
        <v>328</v>
      </c>
      <c r="Q8" s="141" t="s">
        <v>821</v>
      </c>
      <c r="R8" s="186" t="s">
        <v>30</v>
      </c>
      <c r="S8" s="281">
        <v>400</v>
      </c>
      <c r="T8" s="141" t="s">
        <v>740</v>
      </c>
      <c r="U8" s="186" t="s">
        <v>386</v>
      </c>
    </row>
    <row r="9" spans="1:22" ht="12.6" customHeight="1">
      <c r="A9" s="161" t="s">
        <v>520</v>
      </c>
      <c r="B9" s="213" t="s">
        <v>980</v>
      </c>
      <c r="C9" s="141">
        <v>23</v>
      </c>
      <c r="D9" s="183">
        <v>1.4</v>
      </c>
      <c r="E9" s="141">
        <f t="shared" si="0"/>
        <v>34.5</v>
      </c>
      <c r="F9" s="288" t="s">
        <v>521</v>
      </c>
      <c r="G9" s="215">
        <v>0.28000000000000003</v>
      </c>
      <c r="H9" s="216">
        <v>0.30099999999999999</v>
      </c>
      <c r="I9" s="141">
        <v>63</v>
      </c>
      <c r="J9" s="141">
        <v>72</v>
      </c>
      <c r="K9" s="186">
        <v>62</v>
      </c>
      <c r="L9" s="141">
        <f>AVERAGE(501,520,531,516,521,530,525,546,510,482,531)</f>
        <v>519.36363636363637</v>
      </c>
      <c r="M9" s="186" t="s">
        <v>1092</v>
      </c>
      <c r="N9" s="203">
        <f>AVERAGE(595,620,630,599,600,650,645,538,610)</f>
        <v>609.66666666666663</v>
      </c>
      <c r="O9" s="186" t="s">
        <v>1092</v>
      </c>
      <c r="P9" s="203">
        <v>572</v>
      </c>
      <c r="Q9" s="141" t="s">
        <v>821</v>
      </c>
      <c r="R9" s="186" t="s">
        <v>30</v>
      </c>
      <c r="S9" s="203">
        <f>750*CA.US</f>
        <v>570</v>
      </c>
      <c r="T9" s="141" t="s">
        <v>821</v>
      </c>
      <c r="U9" s="186" t="s">
        <v>361</v>
      </c>
    </row>
    <row r="10" spans="1:22" ht="12.6" customHeight="1">
      <c r="A10" s="161" t="s">
        <v>520</v>
      </c>
      <c r="B10" s="213" t="s">
        <v>981</v>
      </c>
      <c r="C10" s="141">
        <v>27</v>
      </c>
      <c r="D10" s="183">
        <v>2.8</v>
      </c>
      <c r="E10" s="141">
        <f t="shared" si="0"/>
        <v>40.5</v>
      </c>
      <c r="F10" s="288" t="s">
        <v>521</v>
      </c>
      <c r="G10" s="215">
        <v>0.34</v>
      </c>
      <c r="H10" s="216">
        <v>7.8E-2</v>
      </c>
      <c r="I10" s="141">
        <v>23</v>
      </c>
      <c r="J10" s="141">
        <v>61.2</v>
      </c>
      <c r="K10" s="186">
        <v>39</v>
      </c>
      <c r="L10" s="141">
        <f>AVERAGE(193,189,208,199,190,165,188,205,201,229)</f>
        <v>196.7</v>
      </c>
      <c r="M10" s="186" t="s">
        <v>1092</v>
      </c>
      <c r="N10" s="203">
        <f>AVERAGE(255,283,278,262,279,249,270,255,250)</f>
        <v>264.55555555555554</v>
      </c>
      <c r="O10" s="186" t="s">
        <v>1092</v>
      </c>
      <c r="P10" s="203" t="s">
        <v>16</v>
      </c>
      <c r="Q10" s="141" t="s">
        <v>16</v>
      </c>
      <c r="R10" s="186" t="s">
        <v>16</v>
      </c>
      <c r="S10" s="203">
        <v>200</v>
      </c>
      <c r="T10" s="141" t="s">
        <v>734</v>
      </c>
      <c r="U10" s="186" t="s">
        <v>33</v>
      </c>
    </row>
    <row r="11" spans="1:22" ht="12.6" customHeight="1">
      <c r="A11" s="161" t="s">
        <v>520</v>
      </c>
      <c r="B11" s="213" t="s">
        <v>982</v>
      </c>
      <c r="C11" s="141">
        <v>35</v>
      </c>
      <c r="D11" s="183">
        <v>1.4</v>
      </c>
      <c r="E11" s="141">
        <f t="shared" ref="E11" si="1">C11*1.5</f>
        <v>52.5</v>
      </c>
      <c r="F11" s="288" t="s">
        <v>521</v>
      </c>
      <c r="G11" s="215">
        <v>0.28000000000000003</v>
      </c>
      <c r="H11" s="216">
        <v>0.187</v>
      </c>
      <c r="I11" s="141">
        <v>54.9</v>
      </c>
      <c r="J11" s="141">
        <v>65</v>
      </c>
      <c r="K11" s="186">
        <v>52</v>
      </c>
      <c r="L11" s="141">
        <f>AVERAGE(295,317,324,313,333,331,315,322,336,349,318,342)</f>
        <v>324.58333333333331</v>
      </c>
      <c r="M11" s="186" t="s">
        <v>1092</v>
      </c>
      <c r="N11" s="203">
        <f>AVERAGE(407,381,362,388,400,360,360,385,435,399,400)</f>
        <v>388.81818181818181</v>
      </c>
      <c r="O11" s="186" t="s">
        <v>1008</v>
      </c>
      <c r="P11" s="203">
        <f>425*CA.US</f>
        <v>323</v>
      </c>
      <c r="Q11" s="141" t="s">
        <v>1092</v>
      </c>
      <c r="R11" s="186" t="s">
        <v>1083</v>
      </c>
      <c r="S11" s="203">
        <f>475*CA.US</f>
        <v>361</v>
      </c>
      <c r="T11" s="141" t="s">
        <v>1092</v>
      </c>
      <c r="U11" s="186" t="s">
        <v>1083</v>
      </c>
    </row>
    <row r="12" spans="1:22" ht="12.6" customHeight="1">
      <c r="A12" s="161" t="s">
        <v>520</v>
      </c>
      <c r="B12" s="213" t="s">
        <v>983</v>
      </c>
      <c r="C12" s="141">
        <v>35</v>
      </c>
      <c r="D12" s="183">
        <v>2</v>
      </c>
      <c r="E12" s="141">
        <f t="shared" si="0"/>
        <v>52.5</v>
      </c>
      <c r="F12" s="288" t="s">
        <v>521</v>
      </c>
      <c r="G12" s="215">
        <v>0.35</v>
      </c>
      <c r="H12" s="216">
        <v>0.17</v>
      </c>
      <c r="I12" s="141">
        <v>45.9</v>
      </c>
      <c r="J12" s="141">
        <v>60</v>
      </c>
      <c r="K12" s="186">
        <v>43</v>
      </c>
      <c r="L12" s="141">
        <f>AVERAGE(345,370,355,378,365)</f>
        <v>362.6</v>
      </c>
      <c r="M12" s="186" t="s">
        <v>1092</v>
      </c>
      <c r="N12" s="301">
        <f>AVERAGE(400,344,389,399,399,399,399,400)</f>
        <v>391.125</v>
      </c>
      <c r="O12" s="186" t="s">
        <v>1008</v>
      </c>
      <c r="P12" s="203" t="s">
        <v>16</v>
      </c>
      <c r="Q12" s="141" t="s">
        <v>16</v>
      </c>
      <c r="R12" s="186" t="s">
        <v>16</v>
      </c>
      <c r="S12" s="281">
        <v>400</v>
      </c>
      <c r="T12" s="141" t="s">
        <v>862</v>
      </c>
      <c r="U12" s="186" t="s">
        <v>32</v>
      </c>
    </row>
    <row r="13" spans="1:22" ht="12.6" customHeight="1">
      <c r="A13" s="161" t="s">
        <v>520</v>
      </c>
      <c r="B13" s="213" t="s">
        <v>984</v>
      </c>
      <c r="C13" s="141">
        <v>56</v>
      </c>
      <c r="D13" s="183">
        <v>1.2</v>
      </c>
      <c r="E13" s="141">
        <f>C13*1.5</f>
        <v>84</v>
      </c>
      <c r="F13" s="288" t="s">
        <v>521</v>
      </c>
      <c r="G13" s="215">
        <v>0.7</v>
      </c>
      <c r="H13" s="216">
        <v>0.40500000000000003</v>
      </c>
      <c r="I13" s="141">
        <v>69.7</v>
      </c>
      <c r="J13" s="141">
        <v>73.2</v>
      </c>
      <c r="K13" s="186">
        <v>62</v>
      </c>
      <c r="L13" s="141">
        <f>AVERAGE(596,548,635,615,660,680,687,685,665,695,600)</f>
        <v>642.36363636363637</v>
      </c>
      <c r="M13" s="186" t="s">
        <v>1092</v>
      </c>
      <c r="N13" s="203">
        <f>AVERAGE(720,710,715,712,775,710,770,729,700)</f>
        <v>726.77777777777783</v>
      </c>
      <c r="O13" s="186" t="s">
        <v>1092</v>
      </c>
      <c r="P13" s="203" t="s">
        <v>16</v>
      </c>
      <c r="Q13" s="141" t="s">
        <v>16</v>
      </c>
      <c r="R13" s="186" t="s">
        <v>16</v>
      </c>
      <c r="S13" s="203">
        <v>850</v>
      </c>
      <c r="T13" s="141" t="s">
        <v>881</v>
      </c>
      <c r="U13" s="186" t="s">
        <v>33</v>
      </c>
    </row>
    <row r="14" spans="1:22" ht="12.6" customHeight="1">
      <c r="A14" s="161" t="s">
        <v>520</v>
      </c>
      <c r="B14" s="213" t="s">
        <v>987</v>
      </c>
      <c r="C14" s="141">
        <v>56</v>
      </c>
      <c r="D14" s="183">
        <v>1.2</v>
      </c>
      <c r="E14" s="141">
        <f>C14*1.5</f>
        <v>84</v>
      </c>
      <c r="F14" s="288" t="s">
        <v>521</v>
      </c>
      <c r="G14" s="215">
        <v>0.7</v>
      </c>
      <c r="H14" s="216">
        <v>0.40500000000000003</v>
      </c>
      <c r="I14" s="141">
        <v>69.7</v>
      </c>
      <c r="J14" s="141">
        <v>73.2</v>
      </c>
      <c r="K14" s="186">
        <v>62</v>
      </c>
      <c r="L14" s="141">
        <f>AVERAGE(690,699,661,631,718,685,729,695,716,710)</f>
        <v>693.4</v>
      </c>
      <c r="M14" s="186" t="s">
        <v>1001</v>
      </c>
      <c r="N14" s="203">
        <f>AVERAGE(750,720,710,699,729,778,799,775,749)</f>
        <v>745.44444444444446</v>
      </c>
      <c r="O14" s="186" t="s">
        <v>1008</v>
      </c>
      <c r="P14" s="203">
        <v>1050</v>
      </c>
      <c r="Q14" s="141" t="s">
        <v>821</v>
      </c>
      <c r="R14" s="186" t="s">
        <v>32</v>
      </c>
      <c r="S14" s="203">
        <v>1120</v>
      </c>
      <c r="T14" s="141" t="s">
        <v>881</v>
      </c>
      <c r="U14" s="186" t="s">
        <v>757</v>
      </c>
    </row>
    <row r="15" spans="1:22" ht="12.6" customHeight="1">
      <c r="A15" s="161" t="s">
        <v>520</v>
      </c>
      <c r="B15" s="213" t="s">
        <v>988</v>
      </c>
      <c r="C15" s="141">
        <v>60</v>
      </c>
      <c r="D15" s="183">
        <v>2.4</v>
      </c>
      <c r="E15" s="141">
        <f t="shared" ref="E15" si="2">C15*1.5</f>
        <v>90</v>
      </c>
      <c r="F15" s="288" t="s">
        <v>521</v>
      </c>
      <c r="G15" s="215">
        <v>0.27</v>
      </c>
      <c r="H15" s="216">
        <v>0.215</v>
      </c>
      <c r="I15" s="141">
        <v>70.900000000000006</v>
      </c>
      <c r="J15" s="141">
        <v>64.099999999999994</v>
      </c>
      <c r="K15" s="186">
        <v>39</v>
      </c>
      <c r="L15" s="141">
        <f>AVERAGE(248,305,280,295,306,280,241,295,286,309,309,320,267)</f>
        <v>287.76923076923077</v>
      </c>
      <c r="M15" s="186" t="s">
        <v>1092</v>
      </c>
      <c r="N15" s="203">
        <f>AVERAGE(355,339,345,400,299,385,430,400,400,390)</f>
        <v>374.3</v>
      </c>
      <c r="O15" s="186" t="s">
        <v>1092</v>
      </c>
      <c r="P15" s="203">
        <v>340</v>
      </c>
      <c r="Q15" s="141" t="s">
        <v>881</v>
      </c>
      <c r="R15" s="186" t="s">
        <v>33</v>
      </c>
      <c r="S15" s="203">
        <f>450*CA.US</f>
        <v>342</v>
      </c>
      <c r="T15" s="141" t="s">
        <v>1001</v>
      </c>
      <c r="U15" s="186" t="s">
        <v>361</v>
      </c>
    </row>
    <row r="16" spans="1:22" ht="12.6" customHeight="1">
      <c r="A16" s="193" t="s">
        <v>520</v>
      </c>
      <c r="B16" s="205" t="s">
        <v>985</v>
      </c>
      <c r="C16" s="172">
        <v>90</v>
      </c>
      <c r="D16" s="177">
        <v>2</v>
      </c>
      <c r="E16" s="172">
        <f t="shared" si="0"/>
        <v>135</v>
      </c>
      <c r="F16" s="196" t="s">
        <v>521</v>
      </c>
      <c r="G16" s="195">
        <v>0.6</v>
      </c>
      <c r="H16" s="176">
        <v>0.54</v>
      </c>
      <c r="I16" s="172">
        <v>105</v>
      </c>
      <c r="J16" s="172">
        <v>75</v>
      </c>
      <c r="K16" s="188">
        <v>62</v>
      </c>
      <c r="L16" s="197">
        <f>AVERAGE(687,640,640,720,725)</f>
        <v>682.4</v>
      </c>
      <c r="M16" s="188" t="s">
        <v>1092</v>
      </c>
      <c r="N16" s="197">
        <f>AVERAGE(735,800,799)</f>
        <v>778</v>
      </c>
      <c r="O16" s="188" t="s">
        <v>1092</v>
      </c>
      <c r="P16" s="197" t="s">
        <v>16</v>
      </c>
      <c r="Q16" s="172" t="s">
        <v>16</v>
      </c>
      <c r="R16" s="188" t="s">
        <v>16</v>
      </c>
      <c r="S16" s="286" t="s">
        <v>16</v>
      </c>
      <c r="T16" s="172" t="s">
        <v>16</v>
      </c>
      <c r="U16" s="188" t="s">
        <v>16</v>
      </c>
    </row>
    <row r="17" spans="1:21" ht="11.25">
      <c r="A17" s="161" t="s">
        <v>520</v>
      </c>
      <c r="B17" s="213" t="s">
        <v>989</v>
      </c>
      <c r="C17" s="141" t="s">
        <v>566</v>
      </c>
      <c r="D17" s="183">
        <v>4</v>
      </c>
      <c r="E17" s="141" t="s">
        <v>601</v>
      </c>
      <c r="F17" s="288" t="s">
        <v>521</v>
      </c>
      <c r="G17" s="215">
        <v>0.24</v>
      </c>
      <c r="H17" s="216">
        <v>0.41</v>
      </c>
      <c r="I17" s="141">
        <v>87</v>
      </c>
      <c r="J17" s="141">
        <v>78</v>
      </c>
      <c r="K17" s="186">
        <v>72</v>
      </c>
      <c r="L17" s="141">
        <f>AVERAGE(619,645,705,661,699,637,671,650,570)</f>
        <v>650.77777777777783</v>
      </c>
      <c r="M17" s="186" t="s">
        <v>1001</v>
      </c>
      <c r="N17" s="203">
        <f>AVERAGE(720,690,685,725,739,750,750,727)</f>
        <v>723.25</v>
      </c>
      <c r="O17" s="186" t="s">
        <v>1092</v>
      </c>
      <c r="P17" s="203">
        <v>650</v>
      </c>
      <c r="Q17" s="141" t="s">
        <v>881</v>
      </c>
      <c r="R17" s="186" t="s">
        <v>33</v>
      </c>
      <c r="S17" s="203">
        <f>750*CA.US</f>
        <v>570</v>
      </c>
      <c r="T17" s="141" t="s">
        <v>1001</v>
      </c>
      <c r="U17" s="186" t="s">
        <v>361</v>
      </c>
    </row>
    <row r="18" spans="1:21" ht="12.6" customHeight="1">
      <c r="A18" s="161" t="s">
        <v>520</v>
      </c>
      <c r="B18" s="213" t="s">
        <v>990</v>
      </c>
      <c r="C18" s="141" t="s">
        <v>672</v>
      </c>
      <c r="D18" s="183" t="s">
        <v>70</v>
      </c>
      <c r="E18" s="141" t="s">
        <v>673</v>
      </c>
      <c r="F18" s="288" t="s">
        <v>521</v>
      </c>
      <c r="G18" s="215">
        <v>0.3</v>
      </c>
      <c r="H18" s="216">
        <v>0.19500000000000001</v>
      </c>
      <c r="I18" s="141">
        <v>65.2</v>
      </c>
      <c r="J18" s="141">
        <v>62.6</v>
      </c>
      <c r="K18" s="186">
        <v>58</v>
      </c>
      <c r="L18" s="141">
        <f>AVERAGE(117,113,110,115,119,129,110,100)</f>
        <v>114.125</v>
      </c>
      <c r="M18" s="186" t="s">
        <v>1092</v>
      </c>
      <c r="N18" s="203">
        <f>AVERAGE(186,150,180,142,209,140,169,153,220,169)</f>
        <v>171.8</v>
      </c>
      <c r="O18" s="186" t="s">
        <v>1008</v>
      </c>
      <c r="P18" s="203">
        <v>130</v>
      </c>
      <c r="Q18" s="141" t="s">
        <v>881</v>
      </c>
      <c r="R18" s="186" t="s">
        <v>757</v>
      </c>
      <c r="S18" s="203">
        <v>210</v>
      </c>
      <c r="T18" s="141" t="s">
        <v>881</v>
      </c>
      <c r="U18" s="186" t="s">
        <v>30</v>
      </c>
    </row>
    <row r="19" spans="1:21" ht="12.6" customHeight="1">
      <c r="A19" s="161" t="s">
        <v>520</v>
      </c>
      <c r="B19" s="213" t="s">
        <v>986</v>
      </c>
      <c r="C19" s="141" t="s">
        <v>754</v>
      </c>
      <c r="D19" s="183">
        <v>2.8</v>
      </c>
      <c r="E19" s="141" t="s">
        <v>411</v>
      </c>
      <c r="F19" s="288" t="s">
        <v>521</v>
      </c>
      <c r="G19" s="215">
        <v>0.3</v>
      </c>
      <c r="H19" s="216">
        <v>0.65500000000000003</v>
      </c>
      <c r="I19" s="141">
        <v>106</v>
      </c>
      <c r="J19" s="141">
        <v>83.3</v>
      </c>
      <c r="K19" s="186">
        <v>77</v>
      </c>
      <c r="L19" s="141">
        <f>AVERAGE(799,755,760,879,818,883,754)</f>
        <v>806.85714285714289</v>
      </c>
      <c r="M19" s="186" t="s">
        <v>1092</v>
      </c>
      <c r="N19" s="141">
        <f>AVERAGE(895,830,860,880,875,878)</f>
        <v>869.66666666666663</v>
      </c>
      <c r="O19" s="186" t="s">
        <v>1092</v>
      </c>
      <c r="P19" s="203" t="s">
        <v>16</v>
      </c>
      <c r="Q19" s="141" t="s">
        <v>16</v>
      </c>
      <c r="R19" s="186" t="s">
        <v>16</v>
      </c>
      <c r="S19" s="203">
        <v>1000</v>
      </c>
      <c r="T19" s="141" t="s">
        <v>821</v>
      </c>
      <c r="U19" s="186" t="s">
        <v>32</v>
      </c>
    </row>
    <row r="20" spans="1:21" ht="12.6" customHeight="1">
      <c r="A20" s="161" t="s">
        <v>520</v>
      </c>
      <c r="B20" s="213" t="s">
        <v>991</v>
      </c>
      <c r="C20" s="141" t="s">
        <v>567</v>
      </c>
      <c r="D20" s="183" t="s">
        <v>62</v>
      </c>
      <c r="E20" s="141" t="s">
        <v>666</v>
      </c>
      <c r="F20" s="288" t="s">
        <v>521</v>
      </c>
      <c r="G20" s="215">
        <v>0.3</v>
      </c>
      <c r="H20" s="216">
        <v>0.31</v>
      </c>
      <c r="I20" s="141">
        <v>70.400000000000006</v>
      </c>
      <c r="J20" s="141">
        <v>65</v>
      </c>
      <c r="K20" s="186">
        <v>58</v>
      </c>
      <c r="L20" s="141">
        <f>AVERAGE(258,260,265,249,325,255,249,220,236,255,255)</f>
        <v>257</v>
      </c>
      <c r="M20" s="186" t="s">
        <v>1092</v>
      </c>
      <c r="N20" s="203">
        <f>AVERAGE(374,353,291,321,350,355,419,379,405,380)</f>
        <v>362.7</v>
      </c>
      <c r="O20" s="186" t="s">
        <v>1092</v>
      </c>
      <c r="P20" s="203">
        <v>270</v>
      </c>
      <c r="Q20" s="141" t="s">
        <v>881</v>
      </c>
      <c r="R20" s="186" t="s">
        <v>30</v>
      </c>
      <c r="S20" s="203">
        <v>313</v>
      </c>
      <c r="T20" s="141" t="s">
        <v>881</v>
      </c>
      <c r="U20" s="186" t="s">
        <v>30</v>
      </c>
    </row>
    <row r="21" spans="1:21" ht="12.6" customHeight="1">
      <c r="A21" s="161" t="s">
        <v>520</v>
      </c>
      <c r="B21" s="213" t="s">
        <v>994</v>
      </c>
      <c r="C21" s="141" t="s">
        <v>724</v>
      </c>
      <c r="D21" s="183" t="s">
        <v>70</v>
      </c>
      <c r="E21" s="141" t="s">
        <v>725</v>
      </c>
      <c r="F21" s="288" t="s">
        <v>521</v>
      </c>
      <c r="G21" s="215">
        <v>0.45</v>
      </c>
      <c r="H21" s="216">
        <v>0.49</v>
      </c>
      <c r="I21" s="141">
        <v>97.8</v>
      </c>
      <c r="J21" s="141">
        <v>75.7</v>
      </c>
      <c r="K21" s="186">
        <v>67</v>
      </c>
      <c r="L21" s="141">
        <f>AVERAGE(450,410,435,420,397,465,355,460)</f>
        <v>424</v>
      </c>
      <c r="M21" s="186" t="s">
        <v>1092</v>
      </c>
      <c r="N21" s="203">
        <f>AVERAGE(485,465,487,489,490,500)</f>
        <v>486</v>
      </c>
      <c r="O21" s="186" t="s">
        <v>1092</v>
      </c>
      <c r="P21" s="203">
        <f>599*CA.US</f>
        <v>455.24</v>
      </c>
      <c r="Q21" s="141" t="s">
        <v>881</v>
      </c>
      <c r="R21" s="186" t="s">
        <v>623</v>
      </c>
      <c r="S21" s="281">
        <v>900</v>
      </c>
      <c r="T21" s="141" t="s">
        <v>807</v>
      </c>
      <c r="U21" s="186" t="s">
        <v>32</v>
      </c>
    </row>
    <row r="22" spans="1:21" ht="12.6" customHeight="1">
      <c r="A22" s="161" t="s">
        <v>520</v>
      </c>
      <c r="B22" s="213" t="s">
        <v>995</v>
      </c>
      <c r="C22" s="141" t="s">
        <v>752</v>
      </c>
      <c r="D22" s="183">
        <v>2.8</v>
      </c>
      <c r="E22" s="141" t="s">
        <v>753</v>
      </c>
      <c r="F22" s="288" t="s">
        <v>521</v>
      </c>
      <c r="G22" s="215">
        <v>1</v>
      </c>
      <c r="H22" s="216">
        <v>0.995</v>
      </c>
      <c r="I22" s="141">
        <v>175</v>
      </c>
      <c r="J22" s="141">
        <v>82.9</v>
      </c>
      <c r="K22" s="186">
        <v>72</v>
      </c>
      <c r="L22" s="141">
        <f>AVERAGE(1061,1199,1152,1188,1138)</f>
        <v>1147.5999999999999</v>
      </c>
      <c r="M22" s="186" t="s">
        <v>1008</v>
      </c>
      <c r="N22" s="203">
        <f>AVERAGE(1135,1188,1200)</f>
        <v>1174.3333333333333</v>
      </c>
      <c r="O22" s="186" t="s">
        <v>1092</v>
      </c>
      <c r="P22" s="203">
        <v>1240</v>
      </c>
      <c r="Q22" s="141" t="s">
        <v>881</v>
      </c>
      <c r="R22" s="186" t="s">
        <v>33</v>
      </c>
      <c r="S22" s="281">
        <v>1600</v>
      </c>
      <c r="T22" s="141" t="s">
        <v>999</v>
      </c>
      <c r="U22" s="186" t="s">
        <v>768</v>
      </c>
    </row>
    <row r="23" spans="1:21" ht="12.6" customHeight="1">
      <c r="A23" s="161" t="s">
        <v>520</v>
      </c>
      <c r="B23" s="213" t="s">
        <v>992</v>
      </c>
      <c r="C23" s="141" t="s">
        <v>756</v>
      </c>
      <c r="D23" s="183" t="s">
        <v>726</v>
      </c>
      <c r="E23" s="141" t="s">
        <v>727</v>
      </c>
      <c r="F23" s="288" t="s">
        <v>521</v>
      </c>
      <c r="G23" s="215">
        <v>1.1000000000000001</v>
      </c>
      <c r="H23" s="216" t="s">
        <v>16</v>
      </c>
      <c r="I23" s="141">
        <v>111</v>
      </c>
      <c r="J23" s="141">
        <v>69.5</v>
      </c>
      <c r="K23" s="186">
        <v>58</v>
      </c>
      <c r="L23" s="141">
        <f>AVERAGE(105,138,157,143,140,152,148,144,158,159)</f>
        <v>144.4</v>
      </c>
      <c r="M23" s="186" t="s">
        <v>1092</v>
      </c>
      <c r="N23" s="203">
        <f>AVERAGE(165,199,181,235,235,205,228,224,193,199,200)</f>
        <v>205.81818181818181</v>
      </c>
      <c r="O23" s="186" t="s">
        <v>1092</v>
      </c>
      <c r="P23" s="203">
        <v>240</v>
      </c>
      <c r="Q23" s="141" t="s">
        <v>881</v>
      </c>
      <c r="R23" s="186" t="s">
        <v>30</v>
      </c>
      <c r="S23" s="203">
        <v>260</v>
      </c>
      <c r="T23" s="141" t="s">
        <v>821</v>
      </c>
      <c r="U23" s="186" t="s">
        <v>32</v>
      </c>
    </row>
    <row r="24" spans="1:21" ht="12.6" customHeight="1">
      <c r="A24" s="161" t="s">
        <v>520</v>
      </c>
      <c r="B24" s="213" t="s">
        <v>993</v>
      </c>
      <c r="C24" s="141" t="s">
        <v>564</v>
      </c>
      <c r="D24" s="183" t="s">
        <v>565</v>
      </c>
      <c r="E24" s="141" t="s">
        <v>722</v>
      </c>
      <c r="F24" s="288" t="s">
        <v>521</v>
      </c>
      <c r="G24" s="215">
        <v>1.1000000000000001</v>
      </c>
      <c r="H24" s="216">
        <v>0.57999999999999996</v>
      </c>
      <c r="I24" s="141">
        <v>118</v>
      </c>
      <c r="J24" s="141">
        <v>75</v>
      </c>
      <c r="K24" s="186">
        <v>62</v>
      </c>
      <c r="L24" s="141">
        <f>AVERAGE(300,300,318,292,303,255,375,296,311,355)</f>
        <v>310.5</v>
      </c>
      <c r="M24" s="186" t="s">
        <v>1092</v>
      </c>
      <c r="N24" s="203">
        <f>AVERAGE(450,426,463,419,406,436,435,433,464,450)</f>
        <v>438.2</v>
      </c>
      <c r="O24" s="186" t="s">
        <v>1092</v>
      </c>
      <c r="P24" s="203">
        <f>489*CA.US</f>
        <v>371.64</v>
      </c>
      <c r="Q24" s="141" t="s">
        <v>881</v>
      </c>
      <c r="R24" s="186" t="s">
        <v>623</v>
      </c>
      <c r="S24" s="203">
        <v>470</v>
      </c>
      <c r="T24" s="141" t="s">
        <v>881</v>
      </c>
      <c r="U24" s="186" t="s">
        <v>757</v>
      </c>
    </row>
    <row r="25" spans="1:21" ht="12.6" customHeight="1">
      <c r="A25" s="193" t="s">
        <v>520</v>
      </c>
      <c r="B25" s="205" t="s">
        <v>998</v>
      </c>
      <c r="C25" s="172" t="s">
        <v>79</v>
      </c>
      <c r="D25" s="177" t="s">
        <v>80</v>
      </c>
      <c r="E25" s="172" t="s">
        <v>698</v>
      </c>
      <c r="F25" s="196" t="s">
        <v>521</v>
      </c>
      <c r="G25" s="195">
        <v>1.75</v>
      </c>
      <c r="H25" s="176">
        <v>1.375</v>
      </c>
      <c r="I25" s="172">
        <v>210.5</v>
      </c>
      <c r="J25" s="172">
        <v>94.8</v>
      </c>
      <c r="K25" s="188">
        <v>82</v>
      </c>
      <c r="L25" s="172">
        <f>AVERAGE(1575)</f>
        <v>1575</v>
      </c>
      <c r="M25" s="188" t="s">
        <v>1092</v>
      </c>
      <c r="N25" s="197">
        <f t="shared" ref="N25" si="3">AVERAGE(0)</f>
        <v>0</v>
      </c>
      <c r="O25" s="188" t="s">
        <v>16</v>
      </c>
      <c r="P25" s="197" t="s">
        <v>16</v>
      </c>
      <c r="Q25" s="172" t="s">
        <v>16</v>
      </c>
      <c r="R25" s="188" t="s">
        <v>16</v>
      </c>
      <c r="S25" s="286">
        <v>1900</v>
      </c>
      <c r="T25" s="172" t="s">
        <v>999</v>
      </c>
      <c r="U25" s="188" t="s">
        <v>32</v>
      </c>
    </row>
    <row r="26" spans="1:21" ht="12.6" customHeight="1">
      <c r="A26" s="193" t="s">
        <v>520</v>
      </c>
      <c r="B26" s="205" t="s">
        <v>972</v>
      </c>
      <c r="C26" s="172" t="s">
        <v>971</v>
      </c>
      <c r="D26" s="177" t="s">
        <v>971</v>
      </c>
      <c r="E26" s="172" t="s">
        <v>127</v>
      </c>
      <c r="F26" s="196" t="s">
        <v>521</v>
      </c>
      <c r="G26" s="195" t="s">
        <v>127</v>
      </c>
      <c r="H26" s="176">
        <v>0.13</v>
      </c>
      <c r="I26" s="172">
        <v>15</v>
      </c>
      <c r="J26" s="172">
        <v>58</v>
      </c>
      <c r="K26" s="188" t="s">
        <v>127</v>
      </c>
      <c r="L26" s="172" t="s">
        <v>16</v>
      </c>
      <c r="M26" s="188" t="s">
        <v>16</v>
      </c>
      <c r="N26" s="286">
        <f>AVERAGE(368,370)</f>
        <v>369</v>
      </c>
      <c r="O26" s="188" t="s">
        <v>1001</v>
      </c>
      <c r="P26" s="197" t="s">
        <v>16</v>
      </c>
      <c r="Q26" s="172" t="s">
        <v>16</v>
      </c>
      <c r="R26" s="188" t="s">
        <v>16</v>
      </c>
      <c r="S26" s="197">
        <v>450</v>
      </c>
      <c r="T26" s="172" t="s">
        <v>999</v>
      </c>
      <c r="U26" s="188" t="s">
        <v>32</v>
      </c>
    </row>
    <row r="27" spans="1:21" ht="12.6" customHeight="1">
      <c r="A27" s="161" t="s">
        <v>520</v>
      </c>
      <c r="B27" s="213" t="s">
        <v>996</v>
      </c>
      <c r="C27" s="141">
        <v>19</v>
      </c>
      <c r="D27" s="183" t="s">
        <v>127</v>
      </c>
      <c r="E27" s="141">
        <v>28</v>
      </c>
      <c r="F27" s="288" t="s">
        <v>695</v>
      </c>
      <c r="G27" s="215" t="s">
        <v>127</v>
      </c>
      <c r="H27" s="216">
        <v>0.15</v>
      </c>
      <c r="I27" s="141">
        <v>37</v>
      </c>
      <c r="J27" s="141">
        <v>55</v>
      </c>
      <c r="K27" s="186">
        <v>49</v>
      </c>
      <c r="L27" s="141">
        <f>AVERAGE(165,190,168,179,140,169,194,158,124,189,190)</f>
        <v>169.63636363636363</v>
      </c>
      <c r="M27" s="186" t="s">
        <v>1092</v>
      </c>
      <c r="N27" s="203">
        <f>AVERAGE(192,194,208,210,195,231,225,185,198)</f>
        <v>204.22222222222223</v>
      </c>
      <c r="O27" s="186" t="s">
        <v>1092</v>
      </c>
      <c r="P27" s="203" t="s">
        <v>16</v>
      </c>
      <c r="Q27" s="141" t="s">
        <v>16</v>
      </c>
      <c r="R27" s="186" t="s">
        <v>16</v>
      </c>
      <c r="S27" s="203">
        <f>275*CA.US</f>
        <v>209</v>
      </c>
      <c r="T27" s="141" t="s">
        <v>1001</v>
      </c>
      <c r="U27" s="186" t="s">
        <v>361</v>
      </c>
    </row>
    <row r="28" spans="1:21" ht="12.6" customHeight="1">
      <c r="A28" s="193" t="s">
        <v>520</v>
      </c>
      <c r="B28" s="205" t="s">
        <v>997</v>
      </c>
      <c r="C28" s="172">
        <v>35</v>
      </c>
      <c r="D28" s="177" t="s">
        <v>127</v>
      </c>
      <c r="E28" s="172">
        <v>50</v>
      </c>
      <c r="F28" s="196" t="s">
        <v>695</v>
      </c>
      <c r="G28" s="195">
        <v>0.14000000000000001</v>
      </c>
      <c r="H28" s="176">
        <v>0.18</v>
      </c>
      <c r="I28" s="172">
        <v>46.5</v>
      </c>
      <c r="J28" s="172">
        <v>70</v>
      </c>
      <c r="K28" s="188">
        <v>67</v>
      </c>
      <c r="L28" s="197">
        <f>AVERAGE(180,160,164,179,178,198)</f>
        <v>176.5</v>
      </c>
      <c r="M28" s="188" t="s">
        <v>1092</v>
      </c>
      <c r="N28" s="197">
        <f>AVERAGE(200,192,225,209,250,198)</f>
        <v>212.33333333333334</v>
      </c>
      <c r="O28" s="188" t="s">
        <v>1092</v>
      </c>
      <c r="P28" s="197" t="s">
        <v>16</v>
      </c>
      <c r="Q28" s="172" t="s">
        <v>16</v>
      </c>
      <c r="R28" s="188" t="s">
        <v>16</v>
      </c>
      <c r="S28" s="197">
        <f>225*CA.US</f>
        <v>171</v>
      </c>
      <c r="T28" s="172" t="s">
        <v>1001</v>
      </c>
      <c r="U28" s="188" t="s">
        <v>361</v>
      </c>
    </row>
    <row r="29" spans="1:21" ht="12.6" customHeight="1">
      <c r="A29" s="193" t="s">
        <v>520</v>
      </c>
      <c r="B29" s="205" t="s">
        <v>997</v>
      </c>
      <c r="C29" s="172">
        <v>14</v>
      </c>
      <c r="D29" s="177" t="s">
        <v>127</v>
      </c>
      <c r="E29" s="172">
        <v>21</v>
      </c>
      <c r="F29" s="196" t="s">
        <v>16</v>
      </c>
      <c r="G29" s="195" t="s">
        <v>16</v>
      </c>
      <c r="H29" s="176" t="s">
        <v>16</v>
      </c>
      <c r="I29" s="172" t="s">
        <v>16</v>
      </c>
      <c r="J29" s="172" t="s">
        <v>16</v>
      </c>
      <c r="K29" s="188" t="s">
        <v>16</v>
      </c>
      <c r="L29" s="172" t="s">
        <v>16</v>
      </c>
      <c r="M29" s="188" t="s">
        <v>16</v>
      </c>
      <c r="N29" s="197" t="s">
        <v>16</v>
      </c>
      <c r="O29" s="188" t="s">
        <v>16</v>
      </c>
      <c r="P29" s="197" t="s">
        <v>16</v>
      </c>
      <c r="Q29" s="172" t="s">
        <v>16</v>
      </c>
      <c r="R29" s="188" t="s">
        <v>16</v>
      </c>
      <c r="S29" s="302">
        <v>200</v>
      </c>
      <c r="T29" s="172" t="s">
        <v>1001</v>
      </c>
      <c r="U29" s="188" t="s">
        <v>32</v>
      </c>
    </row>
    <row r="30" spans="1:21" ht="12.6" customHeight="1">
      <c r="A30" s="121" t="s">
        <v>631</v>
      </c>
      <c r="B30" s="68"/>
      <c r="C30" s="28" t="s">
        <v>16</v>
      </c>
      <c r="D30" s="69" t="s">
        <v>16</v>
      </c>
      <c r="E30" s="28" t="s">
        <v>16</v>
      </c>
      <c r="F30" s="72" t="s">
        <v>16</v>
      </c>
      <c r="G30" s="70" t="s">
        <v>16</v>
      </c>
      <c r="H30" s="71" t="s">
        <v>16</v>
      </c>
      <c r="I30" s="28" t="s">
        <v>16</v>
      </c>
      <c r="J30" s="28" t="s">
        <v>16</v>
      </c>
      <c r="K30" s="28" t="s">
        <v>16</v>
      </c>
      <c r="L30" s="28" t="s">
        <v>16</v>
      </c>
      <c r="M30" s="28" t="s">
        <v>16</v>
      </c>
      <c r="N30" s="28" t="s">
        <v>16</v>
      </c>
      <c r="O30" s="28" t="s">
        <v>16</v>
      </c>
      <c r="P30" s="28" t="s">
        <v>16</v>
      </c>
      <c r="Q30" s="28" t="s">
        <v>16</v>
      </c>
      <c r="R30" s="28" t="s">
        <v>16</v>
      </c>
      <c r="S30" s="28" t="s">
        <v>16</v>
      </c>
      <c r="T30" s="28" t="s">
        <v>16</v>
      </c>
      <c r="U30" s="28" t="s">
        <v>16</v>
      </c>
    </row>
    <row r="31" spans="1:21" ht="11.25">
      <c r="A31" s="37" t="s">
        <v>627</v>
      </c>
      <c r="B31" s="37" t="s">
        <v>629</v>
      </c>
      <c r="C31" s="16">
        <v>12</v>
      </c>
      <c r="D31" s="18">
        <v>2.8</v>
      </c>
      <c r="E31" s="16">
        <f>1.5*C31</f>
        <v>18</v>
      </c>
      <c r="F31" s="79" t="s">
        <v>521</v>
      </c>
      <c r="G31" s="58">
        <v>0.18</v>
      </c>
      <c r="H31" s="53">
        <v>0.26</v>
      </c>
      <c r="I31" s="16">
        <v>68</v>
      </c>
      <c r="J31" s="16" t="s">
        <v>700</v>
      </c>
      <c r="K31" s="31">
        <v>67</v>
      </c>
      <c r="L31" s="40">
        <f>AVERAGE(540,531,500,499,539,550,450,491.55,530,585,532,548)</f>
        <v>524.62916666666672</v>
      </c>
      <c r="M31" s="83" t="s">
        <v>1092</v>
      </c>
      <c r="N31" s="16">
        <f>AVERAGE(640,564,590,622,690,600,699,610)</f>
        <v>626.875</v>
      </c>
      <c r="O31" s="16" t="s">
        <v>1092</v>
      </c>
      <c r="P31" s="25" t="s">
        <v>16</v>
      </c>
      <c r="Q31" s="16" t="s">
        <v>16</v>
      </c>
      <c r="R31" s="31" t="s">
        <v>16</v>
      </c>
      <c r="S31" s="25">
        <v>600</v>
      </c>
      <c r="T31" s="16" t="s">
        <v>1092</v>
      </c>
      <c r="U31" s="31" t="s">
        <v>30</v>
      </c>
    </row>
    <row r="32" spans="1:21" ht="11.25">
      <c r="A32" s="37" t="s">
        <v>627</v>
      </c>
      <c r="B32" s="37" t="s">
        <v>628</v>
      </c>
      <c r="C32" s="16">
        <v>32</v>
      </c>
      <c r="D32" s="18">
        <v>1.8</v>
      </c>
      <c r="E32" s="16">
        <f>1.5*C32</f>
        <v>48</v>
      </c>
      <c r="F32" s="79" t="s">
        <v>521</v>
      </c>
      <c r="G32" s="58">
        <v>0.3</v>
      </c>
      <c r="H32" s="53">
        <v>0.21</v>
      </c>
      <c r="I32" s="16">
        <v>58</v>
      </c>
      <c r="J32" s="16">
        <v>75</v>
      </c>
      <c r="K32" s="31">
        <v>52</v>
      </c>
      <c r="L32" s="25">
        <f>AVERAGE(340,330,346,333,250,300,300,345)</f>
        <v>318</v>
      </c>
      <c r="M32" s="31" t="s">
        <v>1092</v>
      </c>
      <c r="N32" s="16">
        <f>AVERAGE(500,350,440,550,500,460,390,440,499,495,492)</f>
        <v>465.09090909090907</v>
      </c>
      <c r="O32" s="16" t="s">
        <v>1008</v>
      </c>
      <c r="P32" s="25">
        <v>367</v>
      </c>
      <c r="Q32" s="16" t="s">
        <v>1092</v>
      </c>
      <c r="R32" s="31" t="s">
        <v>30</v>
      </c>
      <c r="S32" s="25">
        <f>575*CA.US</f>
        <v>437</v>
      </c>
      <c r="T32" s="16" t="s">
        <v>1001</v>
      </c>
      <c r="U32" s="31" t="s">
        <v>361</v>
      </c>
    </row>
    <row r="33" spans="1:22" ht="12.6" customHeight="1">
      <c r="A33" s="38" t="s">
        <v>627</v>
      </c>
      <c r="B33" s="144" t="s">
        <v>721</v>
      </c>
      <c r="C33" s="27">
        <v>50</v>
      </c>
      <c r="D33" s="62">
        <v>2.8</v>
      </c>
      <c r="E33" s="27">
        <f>1.5*C33</f>
        <v>75</v>
      </c>
      <c r="F33" s="80" t="s">
        <v>521</v>
      </c>
      <c r="G33" s="55">
        <v>0.15</v>
      </c>
      <c r="H33" s="56">
        <v>0.28999999999999998</v>
      </c>
      <c r="I33" s="27">
        <v>91</v>
      </c>
      <c r="J33" s="27">
        <v>65</v>
      </c>
      <c r="K33" s="33">
        <v>52</v>
      </c>
      <c r="L33" s="27">
        <f>AVERAGE(610,698)</f>
        <v>654</v>
      </c>
      <c r="M33" s="33" t="s">
        <v>1001</v>
      </c>
      <c r="N33" s="26">
        <f>AVERAGE(750,899)</f>
        <v>824.5</v>
      </c>
      <c r="O33" s="33" t="s">
        <v>1008</v>
      </c>
      <c r="P33" s="26" t="s">
        <v>16</v>
      </c>
      <c r="Q33" s="27" t="s">
        <v>16</v>
      </c>
      <c r="R33" s="33" t="s">
        <v>16</v>
      </c>
      <c r="S33" s="26">
        <v>792</v>
      </c>
      <c r="T33" s="27" t="s">
        <v>881</v>
      </c>
      <c r="U33" s="33" t="s">
        <v>30</v>
      </c>
    </row>
    <row r="34" spans="1:22" ht="12.6" customHeight="1">
      <c r="A34" s="121" t="s">
        <v>749</v>
      </c>
      <c r="B34" s="244"/>
      <c r="C34" s="28" t="s">
        <v>16</v>
      </c>
      <c r="D34" s="69" t="s">
        <v>16</v>
      </c>
      <c r="E34" s="28" t="s">
        <v>16</v>
      </c>
      <c r="F34" s="72" t="s">
        <v>16</v>
      </c>
      <c r="G34" s="70" t="s">
        <v>16</v>
      </c>
      <c r="H34" s="71" t="s">
        <v>16</v>
      </c>
      <c r="I34" s="28" t="s">
        <v>16</v>
      </c>
      <c r="J34" s="28" t="s">
        <v>16</v>
      </c>
      <c r="K34" s="28" t="s">
        <v>16</v>
      </c>
      <c r="L34" s="28" t="s">
        <v>16</v>
      </c>
      <c r="M34" s="28" t="s">
        <v>16</v>
      </c>
      <c r="N34" s="28" t="s">
        <v>16</v>
      </c>
      <c r="O34" s="28" t="s">
        <v>16</v>
      </c>
      <c r="P34" s="28" t="s">
        <v>16</v>
      </c>
      <c r="Q34" s="28" t="s">
        <v>16</v>
      </c>
      <c r="R34" s="28" t="s">
        <v>16</v>
      </c>
      <c r="S34" s="28" t="s">
        <v>16</v>
      </c>
      <c r="T34" s="28" t="s">
        <v>16</v>
      </c>
      <c r="U34" s="28" t="s">
        <v>16</v>
      </c>
    </row>
    <row r="35" spans="1:22" ht="11.25">
      <c r="A35" s="37" t="s">
        <v>503</v>
      </c>
      <c r="B35" s="37" t="s">
        <v>750</v>
      </c>
      <c r="C35" s="16">
        <v>10</v>
      </c>
      <c r="D35" s="18">
        <v>2.8</v>
      </c>
      <c r="E35" s="16">
        <f>1.5*C35</f>
        <v>15</v>
      </c>
      <c r="F35" s="79" t="s">
        <v>521</v>
      </c>
      <c r="G35" s="58">
        <v>0.24</v>
      </c>
      <c r="H35" s="53">
        <v>0.625</v>
      </c>
      <c r="I35" s="16">
        <v>105.5</v>
      </c>
      <c r="J35" s="16">
        <v>86</v>
      </c>
      <c r="K35" s="31" t="s">
        <v>31</v>
      </c>
      <c r="L35" s="16">
        <f t="shared" ref="L35" si="4">AVERAGE(0)</f>
        <v>0</v>
      </c>
      <c r="M35" s="31" t="s">
        <v>16</v>
      </c>
      <c r="N35" s="25">
        <f t="shared" ref="N35" si="5">AVERAGE(0)</f>
        <v>0</v>
      </c>
      <c r="O35" s="16" t="s">
        <v>16</v>
      </c>
      <c r="P35" s="25" t="s">
        <v>16</v>
      </c>
      <c r="Q35" s="16" t="s">
        <v>16</v>
      </c>
      <c r="R35" s="31" t="s">
        <v>16</v>
      </c>
      <c r="S35" s="67">
        <v>530</v>
      </c>
      <c r="T35" s="16" t="s">
        <v>755</v>
      </c>
      <c r="U35" s="31" t="s">
        <v>32</v>
      </c>
    </row>
    <row r="36" spans="1:22" ht="11.25">
      <c r="A36" s="37" t="s">
        <v>503</v>
      </c>
      <c r="B36" s="37" t="s">
        <v>751</v>
      </c>
      <c r="C36" s="16">
        <v>12</v>
      </c>
      <c r="D36" s="18">
        <v>2</v>
      </c>
      <c r="E36" s="16">
        <f>1.5*C36</f>
        <v>18</v>
      </c>
      <c r="F36" s="79" t="s">
        <v>521</v>
      </c>
      <c r="G36" s="58">
        <v>0.2</v>
      </c>
      <c r="H36" s="53">
        <v>0.26</v>
      </c>
      <c r="I36" s="16">
        <v>59.4</v>
      </c>
      <c r="J36" s="16">
        <v>72.5</v>
      </c>
      <c r="K36" s="31">
        <v>67</v>
      </c>
      <c r="L36" s="25">
        <f>AVERAGE(265,260,249,256,269)</f>
        <v>259.8</v>
      </c>
      <c r="M36" s="31" t="s">
        <v>1092</v>
      </c>
      <c r="N36" s="16">
        <f>AVERAGE(284,284,280)</f>
        <v>282.66666666666669</v>
      </c>
      <c r="O36" s="16" t="s">
        <v>1092</v>
      </c>
      <c r="P36" s="25" t="s">
        <v>16</v>
      </c>
      <c r="Q36" s="16" t="s">
        <v>16</v>
      </c>
      <c r="R36" s="31" t="s">
        <v>16</v>
      </c>
      <c r="S36" s="25">
        <v>400</v>
      </c>
      <c r="T36" s="16" t="s">
        <v>755</v>
      </c>
      <c r="U36" s="31" t="s">
        <v>32</v>
      </c>
    </row>
    <row r="37" spans="1:22" ht="12.6" customHeight="1">
      <c r="A37" s="38" t="s">
        <v>430</v>
      </c>
      <c r="B37" s="125" t="s">
        <v>1000</v>
      </c>
      <c r="C37" s="27">
        <v>16</v>
      </c>
      <c r="D37" s="62">
        <v>2</v>
      </c>
      <c r="E37" s="27">
        <f>1.5*C37</f>
        <v>24</v>
      </c>
      <c r="F37" s="80" t="s">
        <v>521</v>
      </c>
      <c r="G37" s="55">
        <v>0.2</v>
      </c>
      <c r="H37" s="56">
        <v>0.58299999999999996</v>
      </c>
      <c r="I37" s="27">
        <v>115.3</v>
      </c>
      <c r="J37" s="27">
        <v>83</v>
      </c>
      <c r="K37" s="33">
        <v>77</v>
      </c>
      <c r="L37" s="27" t="s">
        <v>16</v>
      </c>
      <c r="M37" s="33" t="s">
        <v>16</v>
      </c>
      <c r="N37" s="82" t="s">
        <v>16</v>
      </c>
      <c r="O37" s="33" t="s">
        <v>16</v>
      </c>
      <c r="P37" s="26" t="s">
        <v>16</v>
      </c>
      <c r="Q37" s="27" t="s">
        <v>16</v>
      </c>
      <c r="R37" s="33" t="s">
        <v>16</v>
      </c>
      <c r="S37" s="82">
        <v>280</v>
      </c>
      <c r="T37" s="27" t="s">
        <v>881</v>
      </c>
      <c r="U37" s="33" t="s">
        <v>757</v>
      </c>
    </row>
    <row r="38" spans="1:22" ht="12.6" customHeight="1">
      <c r="A38" s="121" t="s">
        <v>632</v>
      </c>
      <c r="B38" s="68"/>
      <c r="C38" s="28" t="s">
        <v>16</v>
      </c>
      <c r="D38" s="69" t="s">
        <v>16</v>
      </c>
      <c r="E38" s="28" t="s">
        <v>16</v>
      </c>
      <c r="F38" s="72" t="s">
        <v>16</v>
      </c>
      <c r="G38" s="70" t="s">
        <v>16</v>
      </c>
      <c r="H38" s="71" t="s">
        <v>16</v>
      </c>
      <c r="I38" s="28" t="s">
        <v>16</v>
      </c>
      <c r="J38" s="28" t="s">
        <v>16</v>
      </c>
      <c r="K38" s="28" t="s">
        <v>16</v>
      </c>
      <c r="L38" s="28" t="s">
        <v>16</v>
      </c>
      <c r="M38" s="28" t="s">
        <v>16</v>
      </c>
      <c r="N38" s="28" t="s">
        <v>16</v>
      </c>
      <c r="O38" s="28" t="s">
        <v>16</v>
      </c>
      <c r="P38" s="28" t="s">
        <v>16</v>
      </c>
      <c r="Q38" s="28" t="s">
        <v>16</v>
      </c>
      <c r="R38" s="28" t="s">
        <v>16</v>
      </c>
      <c r="S38" s="28" t="s">
        <v>16</v>
      </c>
      <c r="T38" s="28" t="s">
        <v>16</v>
      </c>
      <c r="U38" s="28" t="s">
        <v>16</v>
      </c>
    </row>
    <row r="39" spans="1:22" ht="11.25">
      <c r="A39" s="37" t="s">
        <v>141</v>
      </c>
      <c r="B39" s="37" t="s">
        <v>543</v>
      </c>
      <c r="C39" s="16">
        <v>12</v>
      </c>
      <c r="D39" s="18">
        <v>5.6</v>
      </c>
      <c r="E39" s="16">
        <f>1.5*C39</f>
        <v>18</v>
      </c>
      <c r="F39" s="79" t="s">
        <v>499</v>
      </c>
      <c r="G39" s="58">
        <v>0.3</v>
      </c>
      <c r="H39" s="53">
        <v>0.16200000000000001</v>
      </c>
      <c r="I39" s="16">
        <v>38.200000000000003</v>
      </c>
      <c r="J39" s="16">
        <v>50.5</v>
      </c>
      <c r="K39" s="31" t="s">
        <v>467</v>
      </c>
      <c r="L39" s="40">
        <f>AVERAGE(443,475,427,530)</f>
        <v>468.75</v>
      </c>
      <c r="M39" s="83" t="s">
        <v>813</v>
      </c>
      <c r="N39" s="16">
        <f>AVERAGE(539,590,633,530,515,550,625,665,625)</f>
        <v>585.77777777777783</v>
      </c>
      <c r="O39" s="16" t="s">
        <v>881</v>
      </c>
      <c r="P39" s="40">
        <v>400</v>
      </c>
      <c r="Q39" s="90" t="s">
        <v>881</v>
      </c>
      <c r="R39" s="83" t="s">
        <v>32</v>
      </c>
      <c r="S39" s="67">
        <v>607</v>
      </c>
      <c r="T39" s="16" t="s">
        <v>606</v>
      </c>
      <c r="U39" s="31" t="s">
        <v>32</v>
      </c>
    </row>
    <row r="40" spans="1:22" ht="11.25">
      <c r="A40" s="37" t="s">
        <v>141</v>
      </c>
      <c r="B40" s="37" t="s">
        <v>498</v>
      </c>
      <c r="C40" s="16">
        <v>12</v>
      </c>
      <c r="D40" s="18">
        <v>5.6</v>
      </c>
      <c r="E40" s="16">
        <f>1.5*C40</f>
        <v>18</v>
      </c>
      <c r="F40" s="79" t="s">
        <v>497</v>
      </c>
      <c r="G40" s="58">
        <v>0.5</v>
      </c>
      <c r="H40" s="53">
        <v>0.156</v>
      </c>
      <c r="I40" s="16">
        <v>42.5</v>
      </c>
      <c r="J40" s="16">
        <v>74.599999999999994</v>
      </c>
      <c r="K40" s="31">
        <v>67</v>
      </c>
      <c r="L40" s="25">
        <f>AVERAGE(455,514,498,520)</f>
        <v>496.75</v>
      </c>
      <c r="M40" s="31" t="s">
        <v>1092</v>
      </c>
      <c r="N40" s="16">
        <f>AVERAGE(538,650,750,653,679,749,672)</f>
        <v>670.14285714285711</v>
      </c>
      <c r="O40" s="16" t="s">
        <v>1001</v>
      </c>
      <c r="P40" s="25">
        <v>700</v>
      </c>
      <c r="Q40" s="16" t="s">
        <v>821</v>
      </c>
      <c r="R40" s="31" t="s">
        <v>33</v>
      </c>
      <c r="S40" s="67">
        <v>871</v>
      </c>
      <c r="T40" s="16" t="s">
        <v>637</v>
      </c>
      <c r="U40" s="31" t="s">
        <v>361</v>
      </c>
    </row>
    <row r="41" spans="1:22" s="37" customFormat="1" ht="12.6" customHeight="1">
      <c r="A41" s="37" t="s">
        <v>141</v>
      </c>
      <c r="B41" s="37" t="s">
        <v>544</v>
      </c>
      <c r="C41" s="16">
        <v>15</v>
      </c>
      <c r="D41" s="18">
        <v>4.5</v>
      </c>
      <c r="E41" s="16">
        <f>1.5*C41</f>
        <v>22.5</v>
      </c>
      <c r="F41" s="79" t="s">
        <v>499</v>
      </c>
      <c r="G41" s="58">
        <v>0.3</v>
      </c>
      <c r="H41" s="53">
        <v>0.105</v>
      </c>
      <c r="I41" s="16">
        <v>30.7</v>
      </c>
      <c r="J41" s="16">
        <v>49.6</v>
      </c>
      <c r="K41" s="31" t="s">
        <v>467</v>
      </c>
      <c r="L41" s="25">
        <f>AVERAGE(340,359,350,328,306,370,320,391)</f>
        <v>345.5</v>
      </c>
      <c r="M41" s="31" t="s">
        <v>1092</v>
      </c>
      <c r="N41" s="16">
        <f>AVERAGE(372,385,411,435,430,465,424,455,439,360)</f>
        <v>417.6</v>
      </c>
      <c r="O41" s="16" t="s">
        <v>1001</v>
      </c>
      <c r="P41" s="25">
        <v>350</v>
      </c>
      <c r="Q41" s="16" t="s">
        <v>734</v>
      </c>
      <c r="R41" s="31" t="s">
        <v>33</v>
      </c>
      <c r="S41" s="67">
        <v>457</v>
      </c>
      <c r="T41" s="16" t="s">
        <v>550</v>
      </c>
      <c r="U41" s="31" t="s">
        <v>361</v>
      </c>
    </row>
    <row r="42" spans="1:22" s="37" customFormat="1" ht="12.6" customHeight="1">
      <c r="A42" s="37" t="s">
        <v>141</v>
      </c>
      <c r="B42" s="37" t="s">
        <v>545</v>
      </c>
      <c r="C42" s="16">
        <v>15</v>
      </c>
      <c r="D42" s="18">
        <v>4.5</v>
      </c>
      <c r="E42" s="16">
        <f t="shared" ref="E42:E51" si="6">1.5*C42</f>
        <v>22.5</v>
      </c>
      <c r="F42" s="79" t="s">
        <v>497</v>
      </c>
      <c r="G42" s="58">
        <v>0.5</v>
      </c>
      <c r="H42" s="53">
        <v>0.156</v>
      </c>
      <c r="I42" s="16">
        <v>38</v>
      </c>
      <c r="J42" s="16">
        <v>59</v>
      </c>
      <c r="K42" s="31">
        <v>52</v>
      </c>
      <c r="L42" s="25">
        <f>AVERAGE(300,380,360,305,399,365,331,420)</f>
        <v>357.5</v>
      </c>
      <c r="M42" s="31" t="s">
        <v>1092</v>
      </c>
      <c r="N42" s="16">
        <f>AVERAGE(473,420,450,440,542,395,575,400,498)</f>
        <v>465.88888888888891</v>
      </c>
      <c r="O42" s="16" t="s">
        <v>1001</v>
      </c>
      <c r="P42" s="25">
        <v>487</v>
      </c>
      <c r="Q42" s="16" t="s">
        <v>821</v>
      </c>
      <c r="R42" s="31" t="s">
        <v>30</v>
      </c>
      <c r="S42" s="25">
        <f>450*CA.US</f>
        <v>342</v>
      </c>
      <c r="T42" s="16" t="s">
        <v>1092</v>
      </c>
      <c r="U42" s="31" t="s">
        <v>1083</v>
      </c>
    </row>
    <row r="43" spans="1:22" s="37" customFormat="1" ht="12.6" customHeight="1">
      <c r="A43" s="37" t="s">
        <v>141</v>
      </c>
      <c r="B43" s="37" t="s">
        <v>594</v>
      </c>
      <c r="C43" s="16">
        <v>21</v>
      </c>
      <c r="D43" s="18">
        <v>1.8</v>
      </c>
      <c r="E43" s="16">
        <f t="shared" si="6"/>
        <v>31.5</v>
      </c>
      <c r="F43" s="79" t="s">
        <v>497</v>
      </c>
      <c r="G43" s="58">
        <v>0.7</v>
      </c>
      <c r="H43" s="53">
        <v>0.41199999999999998</v>
      </c>
      <c r="I43" s="16">
        <v>78.400000000000006</v>
      </c>
      <c r="J43" s="16">
        <v>69</v>
      </c>
      <c r="K43" s="31">
        <v>58</v>
      </c>
      <c r="L43" s="16">
        <f>AVERAGE(828,710,700,571,630,819,800,736,800)</f>
        <v>732.66666666666663</v>
      </c>
      <c r="M43" s="31" t="s">
        <v>1092</v>
      </c>
      <c r="N43" s="16">
        <f>AVERAGE(1049,886,850,1239,1060,1150,1099,1149,1100,998)</f>
        <v>1058</v>
      </c>
      <c r="O43" s="16" t="s">
        <v>1001</v>
      </c>
      <c r="P43" s="25">
        <v>875</v>
      </c>
      <c r="Q43" s="16" t="s">
        <v>881</v>
      </c>
      <c r="R43" s="31" t="s">
        <v>32</v>
      </c>
      <c r="S43" s="12">
        <v>2181</v>
      </c>
      <c r="T43" s="16" t="s">
        <v>637</v>
      </c>
      <c r="U43" s="31" t="s">
        <v>361</v>
      </c>
    </row>
    <row r="44" spans="1:22" s="37" customFormat="1" ht="12.6" customHeight="1">
      <c r="A44" s="37" t="s">
        <v>141</v>
      </c>
      <c r="B44" s="37" t="s">
        <v>539</v>
      </c>
      <c r="C44" s="16">
        <v>28</v>
      </c>
      <c r="D44" s="18">
        <v>1.9</v>
      </c>
      <c r="E44" s="16">
        <f t="shared" si="6"/>
        <v>42</v>
      </c>
      <c r="F44" s="79" t="s">
        <v>499</v>
      </c>
      <c r="G44" s="58">
        <v>0.7</v>
      </c>
      <c r="H44" s="53">
        <v>0.26400000000000001</v>
      </c>
      <c r="I44" s="16">
        <v>47</v>
      </c>
      <c r="J44" s="16">
        <v>53</v>
      </c>
      <c r="K44" s="31">
        <v>46</v>
      </c>
      <c r="L44" s="25">
        <f>AVERAGE(300,304,365,286,315,336,400,450,372,416,450)</f>
        <v>363.09090909090907</v>
      </c>
      <c r="M44" s="31" t="s">
        <v>1092</v>
      </c>
      <c r="N44" s="16">
        <f>AVERAGE(473,520,499,475,530,455,595,598,598,450)</f>
        <v>519.29999999999995</v>
      </c>
      <c r="O44" s="16" t="s">
        <v>1092</v>
      </c>
      <c r="P44" s="25" t="s">
        <v>16</v>
      </c>
      <c r="Q44" s="16" t="s">
        <v>16</v>
      </c>
      <c r="R44" s="31" t="s">
        <v>16</v>
      </c>
      <c r="S44" s="16">
        <f>AVERAGE(0)</f>
        <v>0</v>
      </c>
      <c r="T44" s="16" t="s">
        <v>16</v>
      </c>
      <c r="U44" s="31" t="s">
        <v>16</v>
      </c>
    </row>
    <row r="45" spans="1:22" s="37" customFormat="1" ht="12.6" customHeight="1">
      <c r="A45" s="37" t="s">
        <v>141</v>
      </c>
      <c r="B45" s="37" t="s">
        <v>540</v>
      </c>
      <c r="C45" s="16">
        <v>28</v>
      </c>
      <c r="D45" s="18">
        <v>2</v>
      </c>
      <c r="E45" s="16">
        <f t="shared" si="6"/>
        <v>42</v>
      </c>
      <c r="F45" s="132" t="s">
        <v>497</v>
      </c>
      <c r="G45" s="58">
        <v>0.7</v>
      </c>
      <c r="H45" s="53">
        <v>0.24299999999999999</v>
      </c>
      <c r="I45" s="16">
        <v>51</v>
      </c>
      <c r="J45" s="16">
        <v>55</v>
      </c>
      <c r="K45" s="31">
        <v>46</v>
      </c>
      <c r="L45" s="25">
        <f>AVERAGE(439,350,427,407,424,445,440,432,396,405)</f>
        <v>416.5</v>
      </c>
      <c r="M45" s="31" t="s">
        <v>1092</v>
      </c>
      <c r="N45" s="16">
        <f>AVERAGE(485,535,529,515,500,450,450,485,500,500)</f>
        <v>494.9</v>
      </c>
      <c r="O45" s="16" t="s">
        <v>1008</v>
      </c>
      <c r="P45" s="25">
        <v>470</v>
      </c>
      <c r="Q45" s="16" t="s">
        <v>881</v>
      </c>
      <c r="R45" s="31" t="s">
        <v>32</v>
      </c>
      <c r="S45" s="67">
        <v>631</v>
      </c>
      <c r="T45" s="16" t="s">
        <v>637</v>
      </c>
      <c r="U45" s="31" t="s">
        <v>361</v>
      </c>
    </row>
    <row r="46" spans="1:22" ht="12.6" customHeight="1">
      <c r="A46" s="37" t="s">
        <v>141</v>
      </c>
      <c r="B46" s="57" t="s">
        <v>546</v>
      </c>
      <c r="C46" s="16">
        <v>35</v>
      </c>
      <c r="D46" s="44">
        <v>1.2</v>
      </c>
      <c r="E46" s="16">
        <f>1.5*C46</f>
        <v>52.5</v>
      </c>
      <c r="F46" s="79" t="s">
        <v>497</v>
      </c>
      <c r="G46" s="58">
        <v>0.7</v>
      </c>
      <c r="H46" s="74">
        <v>0.49</v>
      </c>
      <c r="I46" s="16">
        <v>77.8</v>
      </c>
      <c r="J46" s="16">
        <v>63</v>
      </c>
      <c r="K46" s="31">
        <v>52</v>
      </c>
      <c r="L46" s="25">
        <f>AVERAGE(678,650,900,820,800,950,850)</f>
        <v>806.85714285714289</v>
      </c>
      <c r="M46" s="31" t="s">
        <v>1001</v>
      </c>
      <c r="N46" s="16">
        <f>AVERAGE(950,995,1125,1000,1118,986,1244,1395,1000)</f>
        <v>1090.3333333333333</v>
      </c>
      <c r="O46" s="16" t="s">
        <v>765</v>
      </c>
      <c r="P46" s="25" t="s">
        <v>16</v>
      </c>
      <c r="Q46" s="16" t="s">
        <v>16</v>
      </c>
      <c r="R46" s="31" t="s">
        <v>16</v>
      </c>
      <c r="S46" s="25">
        <v>1199</v>
      </c>
      <c r="T46" s="16" t="s">
        <v>560</v>
      </c>
      <c r="U46" s="31" t="s">
        <v>542</v>
      </c>
    </row>
    <row r="47" spans="1:22" ht="12.6" customHeight="1">
      <c r="A47" s="37" t="s">
        <v>141</v>
      </c>
      <c r="B47" s="57" t="s">
        <v>541</v>
      </c>
      <c r="C47" s="16">
        <v>35</v>
      </c>
      <c r="D47" s="44">
        <v>1.2</v>
      </c>
      <c r="E47" s="16">
        <f t="shared" si="6"/>
        <v>52.5</v>
      </c>
      <c r="F47" s="79" t="s">
        <v>497</v>
      </c>
      <c r="G47" s="58">
        <v>0.5</v>
      </c>
      <c r="H47" s="53">
        <v>0.47099999999999997</v>
      </c>
      <c r="I47" s="16">
        <v>62</v>
      </c>
      <c r="J47" s="16">
        <v>60.8</v>
      </c>
      <c r="K47" s="31">
        <v>52</v>
      </c>
      <c r="L47" s="25">
        <f>AVERAGE(699,795,700,795,795,550,761,890,870,780,890)</f>
        <v>775</v>
      </c>
      <c r="M47" s="31" t="s">
        <v>1092</v>
      </c>
      <c r="N47" s="16">
        <f>AVERAGE(848,999,900,792,895,1009,999,985,1000,1215,1008)</f>
        <v>968.18181818181813</v>
      </c>
      <c r="O47" s="16" t="s">
        <v>1092</v>
      </c>
      <c r="P47" s="25">
        <v>790</v>
      </c>
      <c r="Q47" s="16" t="s">
        <v>881</v>
      </c>
      <c r="R47" s="31" t="s">
        <v>32</v>
      </c>
      <c r="S47" s="25">
        <v>1085</v>
      </c>
      <c r="T47" s="16" t="s">
        <v>821</v>
      </c>
      <c r="U47" s="31" t="s">
        <v>30</v>
      </c>
    </row>
    <row r="48" spans="1:22" ht="12.6" customHeight="1">
      <c r="A48" s="37" t="s">
        <v>141</v>
      </c>
      <c r="B48" s="57" t="s">
        <v>968</v>
      </c>
      <c r="C48" s="16">
        <v>35</v>
      </c>
      <c r="D48" s="44">
        <v>1.4</v>
      </c>
      <c r="E48" s="16">
        <f>C48*1.5</f>
        <v>52.5</v>
      </c>
      <c r="F48" s="79" t="s">
        <v>497</v>
      </c>
      <c r="G48" s="58">
        <v>0.7</v>
      </c>
      <c r="H48" s="53">
        <v>0.19800000000000001</v>
      </c>
      <c r="I48" s="16">
        <v>29</v>
      </c>
      <c r="J48" s="16">
        <v>55</v>
      </c>
      <c r="K48" s="31">
        <v>43</v>
      </c>
      <c r="L48" s="25">
        <f>AVERAGE(385,398,410,376,435,388,425,390,455,450,416)</f>
        <v>411.63636363636363</v>
      </c>
      <c r="M48" s="31" t="s">
        <v>1092</v>
      </c>
      <c r="N48" s="16">
        <f>AVERAGE(526,518,498,485,570,529,532,599,510,499)</f>
        <v>526.6</v>
      </c>
      <c r="O48" s="16" t="s">
        <v>1092</v>
      </c>
      <c r="P48" s="25" t="s">
        <v>16</v>
      </c>
      <c r="Q48" s="16" t="s">
        <v>16</v>
      </c>
      <c r="R48" s="31" t="s">
        <v>16</v>
      </c>
      <c r="S48" s="25">
        <v>580</v>
      </c>
      <c r="T48" s="16" t="s">
        <v>606</v>
      </c>
      <c r="U48" s="31" t="s">
        <v>33</v>
      </c>
      <c r="V48" s="19"/>
    </row>
    <row r="49" spans="1:22" ht="12.6" customHeight="1">
      <c r="A49" s="37" t="s">
        <v>141</v>
      </c>
      <c r="B49" s="57" t="s">
        <v>547</v>
      </c>
      <c r="C49" s="16">
        <v>40</v>
      </c>
      <c r="D49" s="44">
        <v>1.4</v>
      </c>
      <c r="E49" s="16">
        <f>C49*1.5</f>
        <v>60</v>
      </c>
      <c r="F49" s="79" t="s">
        <v>497</v>
      </c>
      <c r="G49" s="58">
        <v>0.7</v>
      </c>
      <c r="H49" s="53">
        <v>0.19800000000000001</v>
      </c>
      <c r="I49" s="16">
        <v>40</v>
      </c>
      <c r="J49" s="16">
        <v>55</v>
      </c>
      <c r="K49" s="31">
        <v>43</v>
      </c>
      <c r="L49" s="25">
        <f>AVERAGE(322,295,325,330,315,324,300,350,330)</f>
        <v>321.22222222222223</v>
      </c>
      <c r="M49" s="31" t="s">
        <v>1092</v>
      </c>
      <c r="N49" s="16">
        <f>AVERAGE(480,391,369,403,380,385,395,364,375,370,390,370)</f>
        <v>389.33333333333331</v>
      </c>
      <c r="O49" s="16" t="s">
        <v>1092</v>
      </c>
      <c r="P49" s="25">
        <v>375</v>
      </c>
      <c r="Q49" s="16" t="s">
        <v>881</v>
      </c>
      <c r="R49" s="31" t="s">
        <v>32</v>
      </c>
      <c r="S49" s="67">
        <v>520</v>
      </c>
      <c r="T49" s="16" t="s">
        <v>637</v>
      </c>
      <c r="U49" s="31" t="s">
        <v>361</v>
      </c>
      <c r="V49" s="19"/>
    </row>
    <row r="50" spans="1:22" ht="12.6" customHeight="1">
      <c r="A50" s="37" t="s">
        <v>141</v>
      </c>
      <c r="B50" s="57" t="s">
        <v>500</v>
      </c>
      <c r="C50" s="16">
        <v>50</v>
      </c>
      <c r="D50" s="44">
        <v>1.1000000000000001</v>
      </c>
      <c r="E50" s="16">
        <f t="shared" si="6"/>
        <v>75</v>
      </c>
      <c r="F50" s="79" t="s">
        <v>497</v>
      </c>
      <c r="G50" s="58">
        <v>1</v>
      </c>
      <c r="H50" s="53">
        <v>0.42799999999999999</v>
      </c>
      <c r="I50" s="16">
        <v>57</v>
      </c>
      <c r="J50" s="16">
        <v>69.599999999999994</v>
      </c>
      <c r="K50" s="31">
        <v>58</v>
      </c>
      <c r="L50" s="25">
        <f>AVERAGE(600,581,550,675,600,710,572,650,593,589)</f>
        <v>612</v>
      </c>
      <c r="M50" s="31" t="s">
        <v>1092</v>
      </c>
      <c r="N50" s="16">
        <f>AVERAGE(729,750,637,719,700,795,720,795,849,785)</f>
        <v>747.9</v>
      </c>
      <c r="O50" s="16" t="s">
        <v>1092</v>
      </c>
      <c r="P50" s="25">
        <v>750</v>
      </c>
      <c r="Q50" s="16" t="s">
        <v>821</v>
      </c>
      <c r="R50" s="31" t="s">
        <v>33</v>
      </c>
      <c r="S50" s="25">
        <v>810</v>
      </c>
      <c r="T50" s="16" t="s">
        <v>881</v>
      </c>
      <c r="U50" s="31" t="s">
        <v>32</v>
      </c>
    </row>
    <row r="51" spans="1:22" ht="12.6" customHeight="1">
      <c r="A51" s="37" t="s">
        <v>141</v>
      </c>
      <c r="B51" s="133" t="s">
        <v>501</v>
      </c>
      <c r="C51" s="16">
        <v>50</v>
      </c>
      <c r="D51" s="44">
        <v>1.5</v>
      </c>
      <c r="E51" s="16">
        <f t="shared" si="6"/>
        <v>75</v>
      </c>
      <c r="F51" s="79" t="s">
        <v>499</v>
      </c>
      <c r="G51" s="58">
        <v>0.9</v>
      </c>
      <c r="H51" s="53">
        <v>0.27500000000000002</v>
      </c>
      <c r="I51" s="16">
        <v>45</v>
      </c>
      <c r="J51" s="16">
        <v>58</v>
      </c>
      <c r="K51" s="31">
        <v>52</v>
      </c>
      <c r="L51" s="25">
        <f>AVERAGE(339,415,348,389,379,370,330,375,349,375,355)</f>
        <v>365.81818181818181</v>
      </c>
      <c r="M51" s="31" t="s">
        <v>1092</v>
      </c>
      <c r="N51" s="16">
        <f>AVERAGE(558,471,621,555,509,500,551,500,555,492)</f>
        <v>531.20000000000005</v>
      </c>
      <c r="O51" s="16" t="s">
        <v>1092</v>
      </c>
      <c r="P51" s="25">
        <v>500</v>
      </c>
      <c r="Q51" s="16" t="s">
        <v>881</v>
      </c>
      <c r="R51" s="31" t="s">
        <v>32</v>
      </c>
      <c r="S51" s="67">
        <v>840</v>
      </c>
      <c r="T51" s="16" t="s">
        <v>821</v>
      </c>
      <c r="U51" s="31" t="s">
        <v>33</v>
      </c>
    </row>
    <row r="52" spans="1:22" ht="12.6" customHeight="1">
      <c r="A52" s="37" t="s">
        <v>141</v>
      </c>
      <c r="B52" s="37" t="s">
        <v>502</v>
      </c>
      <c r="C52" s="16">
        <v>75</v>
      </c>
      <c r="D52" s="18">
        <v>1.8</v>
      </c>
      <c r="E52" s="16">
        <f>1.5*C52</f>
        <v>112.5</v>
      </c>
      <c r="F52" s="132" t="s">
        <v>497</v>
      </c>
      <c r="G52" s="58">
        <v>0.9</v>
      </c>
      <c r="H52" s="53">
        <v>0.42699999999999999</v>
      </c>
      <c r="I52" s="16">
        <v>73.8</v>
      </c>
      <c r="J52" s="16">
        <v>57.9</v>
      </c>
      <c r="K52" s="31">
        <v>52</v>
      </c>
      <c r="L52" s="26">
        <f>AVERAGE(460,402,480,368,400,494,520,500,491,416)</f>
        <v>453.1</v>
      </c>
      <c r="M52" s="33" t="s">
        <v>1092</v>
      </c>
      <c r="N52" s="16">
        <f>AVERAGE(515,574,580,499,523,534,550,575,590)</f>
        <v>548.88888888888891</v>
      </c>
      <c r="O52" s="16" t="s">
        <v>1001</v>
      </c>
      <c r="P52" s="26">
        <v>590</v>
      </c>
      <c r="Q52" s="27" t="s">
        <v>881</v>
      </c>
      <c r="R52" s="33" t="s">
        <v>32</v>
      </c>
      <c r="S52" s="67">
        <v>733</v>
      </c>
      <c r="T52" s="27" t="s">
        <v>637</v>
      </c>
      <c r="U52" s="31" t="s">
        <v>361</v>
      </c>
    </row>
    <row r="53" spans="1:22" ht="12.6" customHeight="1">
      <c r="A53" s="121" t="s">
        <v>633</v>
      </c>
      <c r="B53" s="68"/>
      <c r="C53" s="28" t="s">
        <v>16</v>
      </c>
      <c r="D53" s="69" t="s">
        <v>16</v>
      </c>
      <c r="E53" s="28" t="s">
        <v>16</v>
      </c>
      <c r="F53" s="72" t="s">
        <v>16</v>
      </c>
      <c r="G53" s="70" t="s">
        <v>16</v>
      </c>
      <c r="H53" s="71" t="s">
        <v>16</v>
      </c>
      <c r="I53" s="28" t="s">
        <v>16</v>
      </c>
      <c r="J53" s="28" t="s">
        <v>16</v>
      </c>
      <c r="K53" s="28" t="s">
        <v>16</v>
      </c>
      <c r="L53" s="28" t="s">
        <v>16</v>
      </c>
      <c r="M53" s="28" t="s">
        <v>16</v>
      </c>
      <c r="N53" s="28" t="s">
        <v>16</v>
      </c>
      <c r="O53" s="28" t="s">
        <v>16</v>
      </c>
      <c r="P53" s="28" t="s">
        <v>16</v>
      </c>
      <c r="Q53" s="28" t="s">
        <v>16</v>
      </c>
      <c r="R53" s="28" t="s">
        <v>16</v>
      </c>
      <c r="S53" s="28" t="s">
        <v>16</v>
      </c>
      <c r="T53" s="28" t="s">
        <v>16</v>
      </c>
      <c r="U53" s="28" t="s">
        <v>16</v>
      </c>
    </row>
    <row r="54" spans="1:22" ht="12.6" customHeight="1">
      <c r="A54" s="37" t="s">
        <v>523</v>
      </c>
      <c r="B54" s="37" t="s">
        <v>1031</v>
      </c>
      <c r="C54" s="16">
        <v>19</v>
      </c>
      <c r="D54" s="18">
        <v>3.5</v>
      </c>
      <c r="E54" s="16">
        <f t="shared" ref="E54" si="7">C54*1.5</f>
        <v>28.5</v>
      </c>
      <c r="F54" s="79" t="s">
        <v>499</v>
      </c>
      <c r="G54" s="58">
        <v>0.5</v>
      </c>
      <c r="H54" s="53">
        <v>0.2</v>
      </c>
      <c r="I54" s="16">
        <v>30.5</v>
      </c>
      <c r="J54" s="16">
        <v>58.6</v>
      </c>
      <c r="K54" s="31">
        <v>55</v>
      </c>
      <c r="L54" s="16">
        <f t="shared" ref="L54" si="8">AVERAGE(0)</f>
        <v>0</v>
      </c>
      <c r="M54" s="31" t="s">
        <v>16</v>
      </c>
      <c r="N54" s="16">
        <f>AVERAGE(799)</f>
        <v>799</v>
      </c>
      <c r="O54" s="16" t="s">
        <v>1001</v>
      </c>
      <c r="P54" s="25" t="s">
        <v>16</v>
      </c>
      <c r="Q54" s="16" t="s">
        <v>16</v>
      </c>
      <c r="R54" s="31" t="s">
        <v>16</v>
      </c>
      <c r="S54" s="25" t="s">
        <v>16</v>
      </c>
      <c r="T54" s="16" t="s">
        <v>16</v>
      </c>
      <c r="U54" s="31" t="s">
        <v>16</v>
      </c>
    </row>
    <row r="55" spans="1:22" ht="12.6" customHeight="1">
      <c r="A55" s="37" t="s">
        <v>523</v>
      </c>
      <c r="B55" s="37" t="s">
        <v>1020</v>
      </c>
      <c r="C55" s="16">
        <v>35</v>
      </c>
      <c r="D55" s="18">
        <v>1.8</v>
      </c>
      <c r="E55" s="16">
        <f t="shared" ref="E55" si="9">C55*1.5</f>
        <v>52.5</v>
      </c>
      <c r="F55" s="79" t="s">
        <v>499</v>
      </c>
      <c r="G55" s="58">
        <v>1</v>
      </c>
      <c r="H55" s="53">
        <v>0.125</v>
      </c>
      <c r="I55" s="16">
        <v>28.2</v>
      </c>
      <c r="J55" s="16">
        <v>48</v>
      </c>
      <c r="K55" s="31">
        <v>40</v>
      </c>
      <c r="L55" s="16">
        <f>AVERAGE(239,337,289,328)</f>
        <v>298.25</v>
      </c>
      <c r="M55" s="31" t="s">
        <v>1001</v>
      </c>
      <c r="N55" s="16">
        <f>AVERAGE(447,429)</f>
        <v>438</v>
      </c>
      <c r="O55" s="16" t="s">
        <v>881</v>
      </c>
      <c r="P55" s="25">
        <v>487</v>
      </c>
      <c r="Q55" s="16" t="s">
        <v>881</v>
      </c>
      <c r="R55" s="31" t="s">
        <v>30</v>
      </c>
      <c r="S55" s="25" t="s">
        <v>16</v>
      </c>
      <c r="T55" s="16" t="s">
        <v>16</v>
      </c>
      <c r="U55" s="31" t="s">
        <v>16</v>
      </c>
    </row>
    <row r="56" spans="1:22" ht="12.6" customHeight="1">
      <c r="A56" s="37" t="s">
        <v>523</v>
      </c>
      <c r="B56" s="37" t="s">
        <v>1021</v>
      </c>
      <c r="C56" s="16">
        <v>35</v>
      </c>
      <c r="D56" s="18">
        <v>2</v>
      </c>
      <c r="E56" s="16">
        <f t="shared" ref="E56:E61" si="10">C56*1.5</f>
        <v>52.5</v>
      </c>
      <c r="F56" s="79" t="s">
        <v>499</v>
      </c>
      <c r="G56" s="58">
        <v>1</v>
      </c>
      <c r="H56" s="53">
        <v>0.107</v>
      </c>
      <c r="I56" s="16">
        <v>28</v>
      </c>
      <c r="J56" s="16">
        <v>49</v>
      </c>
      <c r="K56" s="31">
        <v>40</v>
      </c>
      <c r="L56" s="16">
        <f>AVERAGE(279,278,325,294,250,280,281,255,339,309,285)</f>
        <v>288.63636363636363</v>
      </c>
      <c r="M56" s="31" t="s">
        <v>1092</v>
      </c>
      <c r="N56" s="16">
        <f>AVERAGE(445,442,379,399,420,425,487)</f>
        <v>428.14285714285717</v>
      </c>
      <c r="O56" s="16" t="s">
        <v>1092</v>
      </c>
      <c r="P56" s="25" t="s">
        <v>16</v>
      </c>
      <c r="Q56" s="16" t="s">
        <v>16</v>
      </c>
      <c r="R56" s="31" t="s">
        <v>16</v>
      </c>
      <c r="S56" s="25">
        <v>395</v>
      </c>
      <c r="T56" s="16" t="s">
        <v>734</v>
      </c>
      <c r="U56" s="31" t="s">
        <v>28</v>
      </c>
    </row>
    <row r="57" spans="1:22" ht="12.6" customHeight="1">
      <c r="A57" s="37" t="s">
        <v>523</v>
      </c>
      <c r="B57" s="37" t="s">
        <v>1022</v>
      </c>
      <c r="C57" s="16">
        <v>50</v>
      </c>
      <c r="D57" s="18">
        <v>0.95</v>
      </c>
      <c r="E57" s="16">
        <f t="shared" si="10"/>
        <v>75</v>
      </c>
      <c r="F57" s="79" t="s">
        <v>499</v>
      </c>
      <c r="G57" s="58">
        <v>1.1000000000000001</v>
      </c>
      <c r="H57" s="53">
        <v>0.60499999999999998</v>
      </c>
      <c r="I57" s="16">
        <v>47.8</v>
      </c>
      <c r="J57" s="16">
        <v>79</v>
      </c>
      <c r="K57" s="31">
        <v>72</v>
      </c>
      <c r="L57" s="16">
        <f>AVERAGE(2001,2100,2150,1800,2200,1475,2025,1690,2253)</f>
        <v>1966</v>
      </c>
      <c r="M57" s="31" t="s">
        <v>1092</v>
      </c>
      <c r="N57" s="16">
        <f>AVERAGE(3240,2375,2151,2399,3278,3000,2895,2899,2700,2846)</f>
        <v>2778.3</v>
      </c>
      <c r="O57" s="16" t="s">
        <v>1092</v>
      </c>
      <c r="P57" s="25">
        <v>1725</v>
      </c>
      <c r="Q57" s="16" t="s">
        <v>677</v>
      </c>
      <c r="R57" s="31" t="s">
        <v>28</v>
      </c>
      <c r="S57" s="25">
        <v>2400</v>
      </c>
      <c r="T57" s="16" t="s">
        <v>826</v>
      </c>
      <c r="U57" s="31" t="s">
        <v>446</v>
      </c>
    </row>
    <row r="58" spans="1:22" ht="12.6" customHeight="1">
      <c r="A58" s="37" t="s">
        <v>523</v>
      </c>
      <c r="B58" s="37" t="s">
        <v>1023</v>
      </c>
      <c r="C58" s="16">
        <v>50</v>
      </c>
      <c r="D58" s="18">
        <v>1.2</v>
      </c>
      <c r="E58" s="16">
        <f t="shared" si="10"/>
        <v>75</v>
      </c>
      <c r="F58" s="79" t="s">
        <v>499</v>
      </c>
      <c r="G58" s="58">
        <v>1.1000000000000001</v>
      </c>
      <c r="H58" s="53">
        <v>0.32500000000000001</v>
      </c>
      <c r="I58" s="16">
        <v>39</v>
      </c>
      <c r="J58" s="16">
        <v>62</v>
      </c>
      <c r="K58" s="31">
        <v>55</v>
      </c>
      <c r="L58" s="16">
        <f>AVERAGE(330,343,351,325,280,350,385,380,300,320,346)</f>
        <v>337.27272727272725</v>
      </c>
      <c r="M58" s="31" t="s">
        <v>1092</v>
      </c>
      <c r="N58" s="16">
        <f>AVERAGE(498,650,578,500,450,660,499,430,455,588)</f>
        <v>530.79999999999995</v>
      </c>
      <c r="O58" s="16" t="s">
        <v>1092</v>
      </c>
      <c r="P58" s="25">
        <f>449*CA.US</f>
        <v>341.24</v>
      </c>
      <c r="Q58" s="16" t="s">
        <v>826</v>
      </c>
      <c r="R58" s="31" t="s">
        <v>623</v>
      </c>
      <c r="S58" s="25">
        <v>900</v>
      </c>
      <c r="T58" s="16" t="s">
        <v>826</v>
      </c>
      <c r="U58" s="31" t="s">
        <v>446</v>
      </c>
    </row>
    <row r="59" spans="1:22" ht="12.6" customHeight="1">
      <c r="A59" s="37" t="s">
        <v>523</v>
      </c>
      <c r="B59" s="37" t="s">
        <v>1024</v>
      </c>
      <c r="C59" s="16">
        <v>50</v>
      </c>
      <c r="D59" s="18">
        <v>1.4</v>
      </c>
      <c r="E59" s="16">
        <f t="shared" si="10"/>
        <v>75</v>
      </c>
      <c r="F59" s="79" t="s">
        <v>499</v>
      </c>
      <c r="G59" s="58">
        <v>1</v>
      </c>
      <c r="H59" s="53">
        <v>0.246</v>
      </c>
      <c r="I59" s="16">
        <v>41.7</v>
      </c>
      <c r="J59" s="16">
        <v>55</v>
      </c>
      <c r="K59" s="31">
        <v>48</v>
      </c>
      <c r="L59" s="16">
        <f>AVERAGE(195,230,178,182,209,173,235,174,216,200,232)</f>
        <v>202.18181818181819</v>
      </c>
      <c r="M59" s="31" t="s">
        <v>1092</v>
      </c>
      <c r="N59" s="16">
        <f>AVERAGE(375,380,357,359,354,307,303,296,329)</f>
        <v>340</v>
      </c>
      <c r="O59" s="16" t="s">
        <v>1092</v>
      </c>
      <c r="P59" s="25">
        <f>239*CA.US</f>
        <v>181.64000000000001</v>
      </c>
      <c r="Q59" s="16" t="s">
        <v>1001</v>
      </c>
      <c r="R59" s="31" t="s">
        <v>623</v>
      </c>
      <c r="S59" s="25">
        <v>675</v>
      </c>
      <c r="T59" s="16" t="s">
        <v>826</v>
      </c>
      <c r="U59" s="31" t="s">
        <v>446</v>
      </c>
    </row>
    <row r="60" spans="1:22" ht="12.6" customHeight="1">
      <c r="A60" s="37" t="s">
        <v>523</v>
      </c>
      <c r="B60" s="37" t="s">
        <v>1027</v>
      </c>
      <c r="C60" s="16">
        <v>50</v>
      </c>
      <c r="D60" s="18">
        <v>1.5</v>
      </c>
      <c r="E60" s="16">
        <f t="shared" si="10"/>
        <v>75</v>
      </c>
      <c r="F60" s="79" t="s">
        <v>499</v>
      </c>
      <c r="G60" s="58">
        <v>1</v>
      </c>
      <c r="H60" s="53">
        <v>0.29499999999999998</v>
      </c>
      <c r="I60" s="16" t="s">
        <v>16</v>
      </c>
      <c r="J60" s="16" t="s">
        <v>16</v>
      </c>
      <c r="K60" s="31">
        <v>40</v>
      </c>
      <c r="L60" s="16">
        <f>AVERAGE(199,175,279,253,210,305)</f>
        <v>236.83333333333334</v>
      </c>
      <c r="M60" s="31" t="s">
        <v>1092</v>
      </c>
      <c r="N60" s="16">
        <f>AVERAGE(300,379,419)</f>
        <v>366</v>
      </c>
      <c r="O60" s="16" t="s">
        <v>1001</v>
      </c>
      <c r="P60" s="25">
        <v>750</v>
      </c>
      <c r="Q60" s="16" t="s">
        <v>826</v>
      </c>
      <c r="R60" s="31" t="s">
        <v>446</v>
      </c>
      <c r="S60" s="25">
        <v>800</v>
      </c>
      <c r="T60" s="16" t="s">
        <v>826</v>
      </c>
      <c r="U60" s="31" t="s">
        <v>446</v>
      </c>
    </row>
    <row r="61" spans="1:22" ht="12.6" customHeight="1">
      <c r="A61" s="37" t="s">
        <v>523</v>
      </c>
      <c r="B61" s="37" t="s">
        <v>1028</v>
      </c>
      <c r="C61" s="16">
        <v>50</v>
      </c>
      <c r="D61" s="18">
        <v>1.8</v>
      </c>
      <c r="E61" s="16">
        <f t="shared" si="10"/>
        <v>75</v>
      </c>
      <c r="F61" s="79" t="s">
        <v>499</v>
      </c>
      <c r="G61" s="58">
        <v>1</v>
      </c>
      <c r="H61" s="53">
        <v>0.188</v>
      </c>
      <c r="I61" s="16">
        <v>39.299999999999997</v>
      </c>
      <c r="J61" s="16">
        <v>48</v>
      </c>
      <c r="K61" s="31">
        <v>40</v>
      </c>
      <c r="L61" s="16">
        <f>AVERAGE(101,103,110,107,108,100)</f>
        <v>104.83333333333333</v>
      </c>
      <c r="M61" s="31" t="s">
        <v>1092</v>
      </c>
      <c r="N61" s="16">
        <f>AVERAGE(138,127,128,140,129,103,110,180,120)</f>
        <v>130.55555555555554</v>
      </c>
      <c r="O61" s="16" t="s">
        <v>1092</v>
      </c>
      <c r="P61" s="25">
        <v>195</v>
      </c>
      <c r="Q61" s="16" t="s">
        <v>881</v>
      </c>
      <c r="R61" s="31" t="s">
        <v>28</v>
      </c>
      <c r="S61" s="25">
        <v>290</v>
      </c>
      <c r="T61" s="16" t="s">
        <v>881</v>
      </c>
      <c r="U61" s="31" t="s">
        <v>30</v>
      </c>
    </row>
    <row r="62" spans="1:22" ht="12.6" customHeight="1">
      <c r="A62" s="37" t="s">
        <v>523</v>
      </c>
      <c r="B62" s="37" t="s">
        <v>1029</v>
      </c>
      <c r="C62" s="16">
        <v>85</v>
      </c>
      <c r="D62" s="18">
        <v>1.5</v>
      </c>
      <c r="E62" s="16">
        <f t="shared" ref="E62:E65" si="11">C62*1.5</f>
        <v>127.5</v>
      </c>
      <c r="F62" s="79" t="s">
        <v>499</v>
      </c>
      <c r="G62" s="58">
        <v>1</v>
      </c>
      <c r="H62" s="53">
        <v>0.73</v>
      </c>
      <c r="I62" s="16">
        <v>82.5</v>
      </c>
      <c r="J62" s="16">
        <v>62.5</v>
      </c>
      <c r="K62" s="31">
        <v>60</v>
      </c>
      <c r="L62" s="16">
        <f t="shared" ref="L62" si="12">AVERAGE(0)</f>
        <v>0</v>
      </c>
      <c r="M62" s="31" t="s">
        <v>16</v>
      </c>
      <c r="N62" s="16">
        <f t="shared" ref="N62" si="13">AVERAGE(0)</f>
        <v>0</v>
      </c>
      <c r="O62" s="16" t="s">
        <v>16</v>
      </c>
      <c r="P62" s="25" t="s">
        <v>16</v>
      </c>
      <c r="Q62" s="16" t="s">
        <v>16</v>
      </c>
      <c r="R62" s="31" t="s">
        <v>16</v>
      </c>
      <c r="S62" s="25" t="s">
        <v>16</v>
      </c>
      <c r="T62" s="16" t="s">
        <v>16</v>
      </c>
      <c r="U62" s="31" t="s">
        <v>16</v>
      </c>
    </row>
    <row r="63" spans="1:22" ht="12.6" customHeight="1">
      <c r="A63" s="37" t="s">
        <v>523</v>
      </c>
      <c r="B63" s="37" t="s">
        <v>1025</v>
      </c>
      <c r="C63" s="16">
        <v>85</v>
      </c>
      <c r="D63" s="18">
        <v>1.8</v>
      </c>
      <c r="E63" s="16">
        <f t="shared" si="11"/>
        <v>127.5</v>
      </c>
      <c r="F63" s="79" t="s">
        <v>499</v>
      </c>
      <c r="G63" s="58">
        <v>1</v>
      </c>
      <c r="H63" s="53">
        <v>0.47</v>
      </c>
      <c r="I63" s="16">
        <v>68.2</v>
      </c>
      <c r="J63" s="16">
        <v>63.5</v>
      </c>
      <c r="K63" s="31">
        <v>58</v>
      </c>
      <c r="L63" s="16">
        <f>AVERAGE(895,500)</f>
        <v>697.5</v>
      </c>
      <c r="M63" s="31" t="s">
        <v>1092</v>
      </c>
      <c r="N63" s="16">
        <f>AVERAGE(1136,1152)</f>
        <v>1144</v>
      </c>
      <c r="O63" s="16" t="s">
        <v>1008</v>
      </c>
      <c r="P63" s="25">
        <v>750</v>
      </c>
      <c r="Q63" s="16" t="s">
        <v>826</v>
      </c>
      <c r="R63" s="31" t="s">
        <v>446</v>
      </c>
      <c r="S63" s="25">
        <v>1300</v>
      </c>
      <c r="T63" s="16" t="s">
        <v>826</v>
      </c>
      <c r="U63" s="31" t="s">
        <v>446</v>
      </c>
    </row>
    <row r="64" spans="1:22" ht="12.6" customHeight="1">
      <c r="A64" s="37" t="s">
        <v>523</v>
      </c>
      <c r="B64" s="37" t="s">
        <v>1026</v>
      </c>
      <c r="C64" s="16">
        <v>100</v>
      </c>
      <c r="D64" s="18">
        <v>2</v>
      </c>
      <c r="E64" s="16">
        <f t="shared" ref="E64" si="14">C64*1.5</f>
        <v>150</v>
      </c>
      <c r="F64" s="79" t="s">
        <v>499</v>
      </c>
      <c r="G64" s="58">
        <v>1</v>
      </c>
      <c r="H64" s="53">
        <v>0.51500000000000001</v>
      </c>
      <c r="I64" s="16">
        <v>91</v>
      </c>
      <c r="J64" s="16">
        <v>63</v>
      </c>
      <c r="K64" s="31">
        <v>58</v>
      </c>
      <c r="L64" s="16">
        <f>AVERAGE(355,402,400)</f>
        <v>385.66666666666669</v>
      </c>
      <c r="M64" s="31" t="s">
        <v>1092</v>
      </c>
      <c r="N64" s="16">
        <f>AVERAGE(649,597,498,523)</f>
        <v>566.75</v>
      </c>
      <c r="O64" s="16" t="s">
        <v>1092</v>
      </c>
      <c r="P64" s="25">
        <v>545</v>
      </c>
      <c r="Q64" s="16" t="s">
        <v>826</v>
      </c>
      <c r="R64" s="31" t="s">
        <v>28</v>
      </c>
      <c r="S64" s="67" t="s">
        <v>16</v>
      </c>
      <c r="T64" s="16" t="s">
        <v>16</v>
      </c>
      <c r="U64" s="31" t="s">
        <v>16</v>
      </c>
    </row>
    <row r="65" spans="1:22" ht="12.6" customHeight="1">
      <c r="A65" s="37" t="s">
        <v>523</v>
      </c>
      <c r="B65" s="37" t="s">
        <v>1030</v>
      </c>
      <c r="C65" s="16">
        <v>135</v>
      </c>
      <c r="D65" s="18">
        <v>3.5</v>
      </c>
      <c r="E65" s="16">
        <f t="shared" si="11"/>
        <v>202.5</v>
      </c>
      <c r="F65" s="79" t="s">
        <v>499</v>
      </c>
      <c r="G65" s="58">
        <v>1.5</v>
      </c>
      <c r="H65" s="53">
        <v>0.42399999999999999</v>
      </c>
      <c r="I65" s="16">
        <v>97</v>
      </c>
      <c r="J65" s="16">
        <v>54</v>
      </c>
      <c r="K65" s="31">
        <v>48</v>
      </c>
      <c r="L65" s="26">
        <f>AVERAGE(69,54,70)</f>
        <v>64.333333333333329</v>
      </c>
      <c r="M65" s="33" t="s">
        <v>835</v>
      </c>
      <c r="N65" s="16">
        <f>AVERAGE(138,120,140,135,119,130,123)</f>
        <v>129.28571428571428</v>
      </c>
      <c r="O65" s="16" t="s">
        <v>1092</v>
      </c>
      <c r="P65" s="26">
        <f>175*CA.US</f>
        <v>133</v>
      </c>
      <c r="Q65" s="27" t="s">
        <v>1092</v>
      </c>
      <c r="R65" s="33" t="s">
        <v>35</v>
      </c>
      <c r="S65" s="67" t="s">
        <v>16</v>
      </c>
      <c r="T65" s="27" t="s">
        <v>16</v>
      </c>
      <c r="U65" s="31" t="s">
        <v>16</v>
      </c>
    </row>
    <row r="66" spans="1:22" ht="12.6" customHeight="1">
      <c r="A66" s="121" t="s">
        <v>634</v>
      </c>
      <c r="B66" s="68" t="s">
        <v>16</v>
      </c>
      <c r="C66" s="28" t="s">
        <v>16</v>
      </c>
      <c r="D66" s="69" t="s">
        <v>16</v>
      </c>
      <c r="E66" s="28" t="s">
        <v>16</v>
      </c>
      <c r="F66" s="72" t="s">
        <v>16</v>
      </c>
      <c r="G66" s="70" t="s">
        <v>16</v>
      </c>
      <c r="H66" s="71" t="s">
        <v>16</v>
      </c>
      <c r="I66" s="28" t="s">
        <v>16</v>
      </c>
      <c r="J66" s="28" t="s">
        <v>16</v>
      </c>
      <c r="K66" s="28" t="s">
        <v>16</v>
      </c>
      <c r="L66" s="28" t="s">
        <v>16</v>
      </c>
      <c r="M66" s="28" t="s">
        <v>16</v>
      </c>
      <c r="N66" s="28" t="s">
        <v>16</v>
      </c>
      <c r="O66" s="28" t="s">
        <v>16</v>
      </c>
      <c r="P66" s="28" t="s">
        <v>16</v>
      </c>
      <c r="Q66" s="28" t="s">
        <v>16</v>
      </c>
      <c r="R66" s="28" t="s">
        <v>16</v>
      </c>
      <c r="S66" s="28" t="s">
        <v>16</v>
      </c>
      <c r="T66" s="28" t="s">
        <v>16</v>
      </c>
      <c r="U66" s="28" t="s">
        <v>16</v>
      </c>
    </row>
    <row r="67" spans="1:22" ht="12.6" customHeight="1">
      <c r="A67" s="38" t="s">
        <v>27</v>
      </c>
      <c r="B67" s="38" t="s">
        <v>536</v>
      </c>
      <c r="C67" s="27">
        <v>50</v>
      </c>
      <c r="D67" s="41" t="s">
        <v>537</v>
      </c>
      <c r="E67" s="33">
        <f>C67*1.5</f>
        <v>75</v>
      </c>
      <c r="F67" s="131" t="s">
        <v>538</v>
      </c>
      <c r="G67" s="55" t="s">
        <v>16</v>
      </c>
      <c r="H67" s="56" t="s">
        <v>16</v>
      </c>
      <c r="I67" s="27" t="s">
        <v>16</v>
      </c>
      <c r="J67" s="27" t="s">
        <v>16</v>
      </c>
      <c r="K67" s="33" t="s">
        <v>16</v>
      </c>
      <c r="L67" s="35">
        <f>AVERAGE(3860)</f>
        <v>3860</v>
      </c>
      <c r="M67" s="33" t="s">
        <v>560</v>
      </c>
      <c r="N67" s="27">
        <v>4300</v>
      </c>
      <c r="O67" s="27" t="s">
        <v>550</v>
      </c>
      <c r="P67" s="26" t="s">
        <v>16</v>
      </c>
      <c r="Q67" s="27" t="s">
        <v>16</v>
      </c>
      <c r="R67" s="33" t="s">
        <v>16</v>
      </c>
      <c r="S67" s="26" t="s">
        <v>16</v>
      </c>
      <c r="T67" s="27" t="s">
        <v>16</v>
      </c>
      <c r="U67" s="33" t="s">
        <v>16</v>
      </c>
    </row>
    <row r="68" spans="1:22" ht="12.6" customHeight="1">
      <c r="C68" s="15" t="s">
        <v>16</v>
      </c>
      <c r="D68" s="14" t="s">
        <v>16</v>
      </c>
      <c r="E68" s="15" t="s">
        <v>16</v>
      </c>
      <c r="F68" s="17" t="s">
        <v>16</v>
      </c>
      <c r="G68" s="48" t="s">
        <v>16</v>
      </c>
      <c r="H68" s="74" t="s">
        <v>16</v>
      </c>
      <c r="I68" s="15" t="s">
        <v>16</v>
      </c>
      <c r="J68" s="15" t="s">
        <v>16</v>
      </c>
      <c r="K68" s="15" t="s">
        <v>16</v>
      </c>
      <c r="L68" s="15" t="s">
        <v>16</v>
      </c>
      <c r="M68" s="15" t="s">
        <v>16</v>
      </c>
      <c r="N68" s="15" t="s">
        <v>16</v>
      </c>
      <c r="O68" s="15" t="s">
        <v>16</v>
      </c>
      <c r="P68" s="15" t="s">
        <v>16</v>
      </c>
      <c r="Q68" s="15" t="s">
        <v>16</v>
      </c>
      <c r="R68" s="15" t="s">
        <v>16</v>
      </c>
      <c r="S68" s="15" t="s">
        <v>16</v>
      </c>
      <c r="T68" s="15" t="s">
        <v>16</v>
      </c>
      <c r="U68" s="15" t="s">
        <v>16</v>
      </c>
    </row>
    <row r="73" spans="1:22" ht="12.6" customHeight="1">
      <c r="A73" s="19"/>
      <c r="B73" s="19"/>
      <c r="C73" s="19"/>
      <c r="D73" s="19"/>
      <c r="E73" s="19"/>
      <c r="F73" s="19"/>
      <c r="G73" s="19"/>
      <c r="H73" s="19"/>
      <c r="I73" s="19"/>
      <c r="J73" s="19"/>
      <c r="K73" s="19"/>
      <c r="L73" s="19"/>
      <c r="M73" s="19"/>
      <c r="N73" s="19"/>
      <c r="O73" s="19"/>
      <c r="P73" s="19"/>
      <c r="Q73" s="19"/>
      <c r="R73" s="19"/>
      <c r="S73" s="19"/>
      <c r="T73" s="19"/>
      <c r="U73" s="19"/>
      <c r="V73" s="19"/>
    </row>
    <row r="75" spans="1:22" ht="12.6" customHeight="1">
      <c r="A75" s="19"/>
      <c r="B75" s="19"/>
      <c r="C75" s="19"/>
      <c r="D75" s="19"/>
      <c r="E75" s="19"/>
      <c r="F75" s="19"/>
      <c r="G75" s="19"/>
      <c r="H75" s="19"/>
      <c r="I75" s="19"/>
      <c r="J75" s="19"/>
      <c r="K75" s="19"/>
      <c r="L75" s="19"/>
      <c r="M75" s="19"/>
      <c r="N75" s="19"/>
      <c r="O75" s="19"/>
      <c r="P75" s="19"/>
      <c r="Q75" s="19"/>
      <c r="R75" s="19"/>
      <c r="S75" s="19"/>
      <c r="T75" s="19"/>
      <c r="U75" s="19"/>
      <c r="V75" s="19"/>
    </row>
    <row r="76" spans="1:22" ht="12.6" customHeight="1">
      <c r="A76" s="19"/>
      <c r="B76" s="19"/>
      <c r="C76" s="19"/>
      <c r="D76" s="19"/>
      <c r="E76" s="19"/>
      <c r="F76" s="19"/>
      <c r="G76" s="19"/>
      <c r="H76" s="19"/>
      <c r="I76" s="19"/>
      <c r="J76" s="19"/>
      <c r="K76" s="19"/>
      <c r="L76" s="19"/>
      <c r="M76" s="19"/>
      <c r="N76" s="19"/>
      <c r="O76" s="19"/>
      <c r="P76" s="19"/>
      <c r="Q76" s="19"/>
      <c r="R76" s="19"/>
      <c r="S76" s="19"/>
      <c r="T76" s="19"/>
      <c r="U76" s="19"/>
      <c r="V76" s="19"/>
    </row>
    <row r="77" spans="1:22" ht="12.6" customHeight="1">
      <c r="A77" s="19"/>
      <c r="B77" s="19"/>
      <c r="C77" s="19"/>
      <c r="D77" s="19"/>
      <c r="E77" s="19"/>
      <c r="F77" s="19"/>
      <c r="G77" s="19"/>
      <c r="H77" s="19"/>
      <c r="I77" s="19"/>
      <c r="J77" s="19"/>
      <c r="K77" s="19"/>
      <c r="L77" s="19"/>
      <c r="M77" s="19"/>
      <c r="N77" s="19"/>
      <c r="O77" s="19"/>
      <c r="P77" s="19"/>
      <c r="Q77" s="19"/>
      <c r="R77" s="19"/>
      <c r="S77" s="19"/>
      <c r="T77" s="19"/>
      <c r="U77" s="19"/>
      <c r="V77" s="19"/>
    </row>
  </sheetData>
  <sheetProtection password="990B" sheet="1" objects="1" scenarios="1"/>
  <phoneticPr fontId="0" type="noConversion"/>
  <conditionalFormatting sqref="Q6 T38 T53 M1:M6 O1:O6 O20 M20 Q20:Q21 Q38:Q45 T44:T51 O38:O53 Q47:Q53 M38:M53 Q23 M66:M1048576 Q66:Q67 O66:O1048576 T66:T67 M56:M57 Q56:Q57 O56:O57 T56:T57">
    <cfRule type="cellIs" dxfId="140" priority="166" stopIfTrue="1" operator="lessThan">
      <formula>".08-09"</formula>
    </cfRule>
  </conditionalFormatting>
  <conditionalFormatting sqref="T6">
    <cfRule type="cellIs" dxfId="139" priority="165" stopIfTrue="1" operator="lessThan">
      <formula>".08-09"</formula>
    </cfRule>
  </conditionalFormatting>
  <conditionalFormatting sqref="T20:T21">
    <cfRule type="cellIs" dxfId="138" priority="160" stopIfTrue="1" operator="lessThan">
      <formula>".08-09"</formula>
    </cfRule>
  </conditionalFormatting>
  <conditionalFormatting sqref="T41:T42">
    <cfRule type="cellIs" dxfId="137" priority="159" stopIfTrue="1" operator="lessThan">
      <formula>".08-09"</formula>
    </cfRule>
  </conditionalFormatting>
  <conditionalFormatting sqref="T39">
    <cfRule type="cellIs" dxfId="136" priority="158" stopIfTrue="1" operator="lessThan">
      <formula>".08-09"</formula>
    </cfRule>
  </conditionalFormatting>
  <conditionalFormatting sqref="T40">
    <cfRule type="cellIs" dxfId="135" priority="157" stopIfTrue="1" operator="lessThan">
      <formula>".08-09"</formula>
    </cfRule>
  </conditionalFormatting>
  <conditionalFormatting sqref="T43">
    <cfRule type="cellIs" dxfId="134" priority="156" stopIfTrue="1" operator="lessThan">
      <formula>".08-09"</formula>
    </cfRule>
  </conditionalFormatting>
  <conditionalFormatting sqref="T52">
    <cfRule type="cellIs" dxfId="133" priority="155" stopIfTrue="1" operator="lessThan">
      <formula>".08-09"</formula>
    </cfRule>
  </conditionalFormatting>
  <conditionalFormatting sqref="T30 O30 M30 Q30">
    <cfRule type="cellIs" dxfId="132" priority="154" stopIfTrue="1" operator="lessThan">
      <formula>".08-09"</formula>
    </cfRule>
  </conditionalFormatting>
  <conditionalFormatting sqref="O31 M31 Q31">
    <cfRule type="cellIs" dxfId="131" priority="150" stopIfTrue="1" operator="lessThan">
      <formula>".08-09"</formula>
    </cfRule>
  </conditionalFormatting>
  <conditionalFormatting sqref="T31">
    <cfRule type="cellIs" dxfId="130" priority="149" stopIfTrue="1" operator="lessThan">
      <formula>".08-09"</formula>
    </cfRule>
  </conditionalFormatting>
  <conditionalFormatting sqref="Q24:Q25 M24:M25 O24:O25">
    <cfRule type="cellIs" dxfId="129" priority="147" stopIfTrue="1" operator="lessThan">
      <formula>".08-09"</formula>
    </cfRule>
  </conditionalFormatting>
  <conditionalFormatting sqref="T24:T25">
    <cfRule type="cellIs" dxfId="128" priority="146" stopIfTrue="1" operator="lessThan">
      <formula>".08-09"</formula>
    </cfRule>
  </conditionalFormatting>
  <conditionalFormatting sqref="Q9 M9 O9">
    <cfRule type="cellIs" dxfId="127" priority="136" stopIfTrue="1" operator="lessThan">
      <formula>".08-09"</formula>
    </cfRule>
  </conditionalFormatting>
  <conditionalFormatting sqref="T9">
    <cfRule type="cellIs" dxfId="126" priority="135" stopIfTrue="1" operator="lessThan">
      <formula>".08-09"</formula>
    </cfRule>
  </conditionalFormatting>
  <conditionalFormatting sqref="Q17 M17 O17">
    <cfRule type="cellIs" dxfId="125" priority="128" stopIfTrue="1" operator="lessThan">
      <formula>".08-09"</formula>
    </cfRule>
  </conditionalFormatting>
  <conditionalFormatting sqref="T17">
    <cfRule type="cellIs" dxfId="124" priority="127" stopIfTrue="1" operator="lessThan">
      <formula>".08-09"</formula>
    </cfRule>
  </conditionalFormatting>
  <conditionalFormatting sqref="Q19 M19 O19">
    <cfRule type="cellIs" dxfId="123" priority="126" stopIfTrue="1" operator="lessThan">
      <formula>".08-09"</formula>
    </cfRule>
  </conditionalFormatting>
  <conditionalFormatting sqref="T19">
    <cfRule type="cellIs" dxfId="122" priority="125" stopIfTrue="1" operator="lessThan">
      <formula>".08-09"</formula>
    </cfRule>
  </conditionalFormatting>
  <conditionalFormatting sqref="Q14 M14 O14">
    <cfRule type="cellIs" dxfId="121" priority="122" stopIfTrue="1" operator="lessThan">
      <formula>".08-09"</formula>
    </cfRule>
  </conditionalFormatting>
  <conditionalFormatting sqref="T14">
    <cfRule type="cellIs" dxfId="120" priority="121" stopIfTrue="1" operator="lessThan">
      <formula>".08-09"</formula>
    </cfRule>
  </conditionalFormatting>
  <conditionalFormatting sqref="Q32 M32 O32">
    <cfRule type="cellIs" dxfId="119" priority="120" stopIfTrue="1" operator="lessThan">
      <formula>".08-09"</formula>
    </cfRule>
  </conditionalFormatting>
  <conditionalFormatting sqref="T32">
    <cfRule type="cellIs" dxfId="118" priority="119" stopIfTrue="1" operator="lessThan">
      <formula>".08-09"</formula>
    </cfRule>
  </conditionalFormatting>
  <conditionalFormatting sqref="M21 O21">
    <cfRule type="cellIs" dxfId="117" priority="117" stopIfTrue="1" operator="lessThan">
      <formula>".08-09"</formula>
    </cfRule>
  </conditionalFormatting>
  <conditionalFormatting sqref="M23 O23">
    <cfRule type="cellIs" dxfId="116" priority="116" stopIfTrue="1" operator="lessThan">
      <formula>".08-09"</formula>
    </cfRule>
  </conditionalFormatting>
  <conditionalFormatting sqref="Q27">
    <cfRule type="cellIs" dxfId="115" priority="112" stopIfTrue="1" operator="lessThan">
      <formula>".08-09"</formula>
    </cfRule>
  </conditionalFormatting>
  <conditionalFormatting sqref="T27">
    <cfRule type="cellIs" dxfId="114" priority="111" stopIfTrue="1" operator="lessThan">
      <formula>".08-09"</formula>
    </cfRule>
  </conditionalFormatting>
  <conditionalFormatting sqref="M27 O27">
    <cfRule type="cellIs" dxfId="113" priority="108" stopIfTrue="1" operator="lessThan">
      <formula>".08-09"</formula>
    </cfRule>
  </conditionalFormatting>
  <conditionalFormatting sqref="T34 O34 M34 Q34">
    <cfRule type="cellIs" dxfId="112" priority="105" stopIfTrue="1" operator="lessThan">
      <formula>".08-09"</formula>
    </cfRule>
  </conditionalFormatting>
  <conditionalFormatting sqref="O35 Q35">
    <cfRule type="cellIs" dxfId="111" priority="100" stopIfTrue="1" operator="lessThan">
      <formula>".08-09"</formula>
    </cfRule>
  </conditionalFormatting>
  <conditionalFormatting sqref="T35">
    <cfRule type="cellIs" dxfId="110" priority="96" stopIfTrue="1" operator="lessThan">
      <formula>".08-09"</formula>
    </cfRule>
  </conditionalFormatting>
  <conditionalFormatting sqref="Q15 M15 O15">
    <cfRule type="cellIs" dxfId="109" priority="91" stopIfTrue="1" operator="lessThan">
      <formula>".08-09"</formula>
    </cfRule>
  </conditionalFormatting>
  <conditionalFormatting sqref="T15">
    <cfRule type="cellIs" dxfId="108" priority="90" stopIfTrue="1" operator="lessThan">
      <formula>".08-09"</formula>
    </cfRule>
  </conditionalFormatting>
  <conditionalFormatting sqref="O15 M15 Q15">
    <cfRule type="cellIs" dxfId="107" priority="93" stopIfTrue="1" operator="lessThan">
      <formula>".08-09"</formula>
    </cfRule>
  </conditionalFormatting>
  <conditionalFormatting sqref="T15">
    <cfRule type="cellIs" dxfId="106" priority="92" stopIfTrue="1" operator="lessThan">
      <formula>".08-09"</formula>
    </cfRule>
  </conditionalFormatting>
  <conditionalFormatting sqref="Q18 M18 O18">
    <cfRule type="cellIs" dxfId="105" priority="84" stopIfTrue="1" operator="lessThan">
      <formula>".08-09"</formula>
    </cfRule>
  </conditionalFormatting>
  <conditionalFormatting sqref="T18">
    <cfRule type="cellIs" dxfId="104" priority="83" stopIfTrue="1" operator="lessThan">
      <formula>".08-09"</formula>
    </cfRule>
  </conditionalFormatting>
  <conditionalFormatting sqref="Q22">
    <cfRule type="cellIs" dxfId="103" priority="82" stopIfTrue="1" operator="lessThan">
      <formula>".08-09"</formula>
    </cfRule>
  </conditionalFormatting>
  <conditionalFormatting sqref="T22">
    <cfRule type="cellIs" dxfId="102" priority="81" stopIfTrue="1" operator="lessThan">
      <formula>".08-09"</formula>
    </cfRule>
  </conditionalFormatting>
  <conditionalFormatting sqref="M22 O22">
    <cfRule type="cellIs" dxfId="101" priority="80" stopIfTrue="1" operator="lessThan">
      <formula>".08-09"</formula>
    </cfRule>
  </conditionalFormatting>
  <conditionalFormatting sqref="Q16">
    <cfRule type="cellIs" dxfId="100" priority="79" stopIfTrue="1" operator="lessThan">
      <formula>".08-09"</formula>
    </cfRule>
  </conditionalFormatting>
  <conditionalFormatting sqref="T16">
    <cfRule type="cellIs" dxfId="99" priority="78" stopIfTrue="1" operator="lessThan">
      <formula>".08-09"</formula>
    </cfRule>
  </conditionalFormatting>
  <conditionalFormatting sqref="M16 O16">
    <cfRule type="cellIs" dxfId="98" priority="77" stopIfTrue="1" operator="lessThan">
      <formula>".08-09"</formula>
    </cfRule>
  </conditionalFormatting>
  <conditionalFormatting sqref="Q7">
    <cfRule type="cellIs" dxfId="97" priority="76" stopIfTrue="1" operator="lessThan">
      <formula>".08-09"</formula>
    </cfRule>
  </conditionalFormatting>
  <conditionalFormatting sqref="T7">
    <cfRule type="cellIs" dxfId="96" priority="75" stopIfTrue="1" operator="lessThan">
      <formula>".08-09"</formula>
    </cfRule>
  </conditionalFormatting>
  <conditionalFormatting sqref="M7 O7">
    <cfRule type="cellIs" dxfId="95" priority="74" stopIfTrue="1" operator="lessThan">
      <formula>".08-09"</formula>
    </cfRule>
  </conditionalFormatting>
  <conditionalFormatting sqref="T23">
    <cfRule type="cellIs" dxfId="94" priority="73" stopIfTrue="1" operator="lessThan">
      <formula>".08-09"</formula>
    </cfRule>
  </conditionalFormatting>
  <conditionalFormatting sqref="Q13 M13 O13">
    <cfRule type="cellIs" dxfId="93" priority="72" stopIfTrue="1" operator="lessThan">
      <formula>".08-09"</formula>
    </cfRule>
  </conditionalFormatting>
  <conditionalFormatting sqref="T13">
    <cfRule type="cellIs" dxfId="92" priority="71" stopIfTrue="1" operator="lessThan">
      <formula>".08-09"</formula>
    </cfRule>
  </conditionalFormatting>
  <conditionalFormatting sqref="M35">
    <cfRule type="cellIs" dxfId="91" priority="69" stopIfTrue="1" operator="lessThan">
      <formula>".08-09"</formula>
    </cfRule>
  </conditionalFormatting>
  <conditionalFormatting sqref="Q33 M33 O33">
    <cfRule type="cellIs" dxfId="90" priority="68" stopIfTrue="1" operator="lessThan">
      <formula>".08-09"</formula>
    </cfRule>
  </conditionalFormatting>
  <conditionalFormatting sqref="T33">
    <cfRule type="cellIs" dxfId="89" priority="67" stopIfTrue="1" operator="lessThan">
      <formula>".08-09"</formula>
    </cfRule>
  </conditionalFormatting>
  <conditionalFormatting sqref="T58 O58 Q58 M58">
    <cfRule type="cellIs" dxfId="88" priority="65" stopIfTrue="1" operator="lessThan">
      <formula>".08-09"</formula>
    </cfRule>
  </conditionalFormatting>
  <conditionalFormatting sqref="Q55 T55">
    <cfRule type="cellIs" dxfId="87" priority="44" stopIfTrue="1" operator="lessThan">
      <formula>".08-09"</formula>
    </cfRule>
  </conditionalFormatting>
  <conditionalFormatting sqref="Q54 O54 T54">
    <cfRule type="cellIs" dxfId="86" priority="43" stopIfTrue="1" operator="lessThan">
      <formula>".08-09"</formula>
    </cfRule>
  </conditionalFormatting>
  <conditionalFormatting sqref="O64 Q64:Q65 M64">
    <cfRule type="cellIs" dxfId="85" priority="38" stopIfTrue="1" operator="lessThan">
      <formula>".08-09"</formula>
    </cfRule>
  </conditionalFormatting>
  <conditionalFormatting sqref="T64">
    <cfRule type="cellIs" dxfId="84" priority="37" stopIfTrue="1" operator="lessThan">
      <formula>".08-09"</formula>
    </cfRule>
  </conditionalFormatting>
  <conditionalFormatting sqref="T65">
    <cfRule type="cellIs" dxfId="83" priority="36" stopIfTrue="1" operator="lessThan">
      <formula>".08-09"</formula>
    </cfRule>
  </conditionalFormatting>
  <conditionalFormatting sqref="M65">
    <cfRule type="cellIs" dxfId="82" priority="35" stopIfTrue="1" operator="lessThan">
      <formula>".08-09"</formula>
    </cfRule>
  </conditionalFormatting>
  <conditionalFormatting sqref="O55">
    <cfRule type="cellIs" dxfId="81" priority="34" stopIfTrue="1" operator="lessThan">
      <formula>".08-09"</formula>
    </cfRule>
  </conditionalFormatting>
  <conditionalFormatting sqref="M55">
    <cfRule type="cellIs" dxfId="80" priority="33" stopIfTrue="1" operator="lessThan">
      <formula>".08-09"</formula>
    </cfRule>
  </conditionalFormatting>
  <conditionalFormatting sqref="O65">
    <cfRule type="cellIs" dxfId="79" priority="32" stopIfTrue="1" operator="lessThan">
      <formula>".08-09"</formula>
    </cfRule>
  </conditionalFormatting>
  <conditionalFormatting sqref="Q10 M10 O10">
    <cfRule type="cellIs" dxfId="78" priority="29" stopIfTrue="1" operator="lessThan">
      <formula>".08-09"</formula>
    </cfRule>
  </conditionalFormatting>
  <conditionalFormatting sqref="T10">
    <cfRule type="cellIs" dxfId="77" priority="28" stopIfTrue="1" operator="lessThan">
      <formula>".08-09"</formula>
    </cfRule>
  </conditionalFormatting>
  <conditionalFormatting sqref="Q11 M11 O11">
    <cfRule type="cellIs" dxfId="76" priority="27" stopIfTrue="1" operator="lessThan">
      <formula>".08-09"</formula>
    </cfRule>
  </conditionalFormatting>
  <conditionalFormatting sqref="T11">
    <cfRule type="cellIs" dxfId="75" priority="26" stopIfTrue="1" operator="lessThan">
      <formula>".08-09"</formula>
    </cfRule>
  </conditionalFormatting>
  <conditionalFormatting sqref="Q12 M12 O12">
    <cfRule type="cellIs" dxfId="74" priority="25" stopIfTrue="1" operator="lessThan">
      <formula>".08-09"</formula>
    </cfRule>
  </conditionalFormatting>
  <conditionalFormatting sqref="T12">
    <cfRule type="cellIs" dxfId="73" priority="24" stopIfTrue="1" operator="lessThan">
      <formula>".08-09"</formula>
    </cfRule>
  </conditionalFormatting>
  <conditionalFormatting sqref="Q8">
    <cfRule type="cellIs" dxfId="72" priority="23" stopIfTrue="1" operator="lessThan">
      <formula>".08-09"</formula>
    </cfRule>
  </conditionalFormatting>
  <conditionalFormatting sqref="T8">
    <cfRule type="cellIs" dxfId="71" priority="22" stopIfTrue="1" operator="lessThan">
      <formula>".08-09"</formula>
    </cfRule>
  </conditionalFormatting>
  <conditionalFormatting sqref="M8 O8">
    <cfRule type="cellIs" dxfId="70" priority="21" stopIfTrue="1" operator="lessThan">
      <formula>".08-09"</formula>
    </cfRule>
  </conditionalFormatting>
  <conditionalFormatting sqref="Q36 M36 O36">
    <cfRule type="cellIs" dxfId="69" priority="20" stopIfTrue="1" operator="lessThan">
      <formula>".08-09"</formula>
    </cfRule>
  </conditionalFormatting>
  <conditionalFormatting sqref="T36">
    <cfRule type="cellIs" dxfId="68" priority="19" stopIfTrue="1" operator="lessThan">
      <formula>".08-09"</formula>
    </cfRule>
  </conditionalFormatting>
  <conditionalFormatting sqref="Q37 M37 O37">
    <cfRule type="cellIs" dxfId="67" priority="18" stopIfTrue="1" operator="lessThan">
      <formula>".08-09"</formula>
    </cfRule>
  </conditionalFormatting>
  <conditionalFormatting sqref="T37">
    <cfRule type="cellIs" dxfId="66" priority="17" stopIfTrue="1" operator="lessThan">
      <formula>".08-09"</formula>
    </cfRule>
  </conditionalFormatting>
  <conditionalFormatting sqref="Q26 M26 O26">
    <cfRule type="cellIs" dxfId="65" priority="16" stopIfTrue="1" operator="lessThan">
      <formula>".08-09"</formula>
    </cfRule>
  </conditionalFormatting>
  <conditionalFormatting sqref="T26">
    <cfRule type="cellIs" dxfId="64" priority="15" stopIfTrue="1" operator="lessThan">
      <formula>".08-09"</formula>
    </cfRule>
  </conditionalFormatting>
  <conditionalFormatting sqref="Q24">
    <cfRule type="cellIs" dxfId="63" priority="14" stopIfTrue="1" operator="lessThan">
      <formula>".08-09"</formula>
    </cfRule>
  </conditionalFormatting>
  <conditionalFormatting sqref="M24 O24">
    <cfRule type="cellIs" dxfId="62" priority="13" stopIfTrue="1" operator="lessThan">
      <formula>".08-09"</formula>
    </cfRule>
  </conditionalFormatting>
  <conditionalFormatting sqref="T24">
    <cfRule type="cellIs" dxfId="61" priority="12" stopIfTrue="1" operator="lessThan">
      <formula>".08-09"</formula>
    </cfRule>
  </conditionalFormatting>
  <conditionalFormatting sqref="Q28">
    <cfRule type="cellIs" dxfId="60" priority="11" stopIfTrue="1" operator="lessThan">
      <formula>".08-09"</formula>
    </cfRule>
  </conditionalFormatting>
  <conditionalFormatting sqref="T28">
    <cfRule type="cellIs" dxfId="59" priority="10" stopIfTrue="1" operator="lessThan">
      <formula>".08-09"</formula>
    </cfRule>
  </conditionalFormatting>
  <conditionalFormatting sqref="M28">
    <cfRule type="cellIs" dxfId="58" priority="9" stopIfTrue="1" operator="lessThan">
      <formula>".08-09"</formula>
    </cfRule>
  </conditionalFormatting>
  <conditionalFormatting sqref="O28">
    <cfRule type="cellIs" dxfId="57" priority="8" stopIfTrue="1" operator="lessThan">
      <formula>".08-09"</formula>
    </cfRule>
  </conditionalFormatting>
  <conditionalFormatting sqref="Q29 M29 O29">
    <cfRule type="cellIs" dxfId="56" priority="7" stopIfTrue="1" operator="lessThan">
      <formula>".08-09"</formula>
    </cfRule>
  </conditionalFormatting>
  <conditionalFormatting sqref="T29">
    <cfRule type="cellIs" dxfId="55" priority="6" stopIfTrue="1" operator="lessThan">
      <formula>".08-09"</formula>
    </cfRule>
  </conditionalFormatting>
  <conditionalFormatting sqref="M54">
    <cfRule type="cellIs" dxfId="54" priority="2" stopIfTrue="1" operator="lessThan">
      <formula>".08-09"</formula>
    </cfRule>
  </conditionalFormatting>
  <conditionalFormatting sqref="M59:M63 Q59:Q63 O59:O63 T59:T63">
    <cfRule type="cellIs" dxfId="53"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1" manualBreakCount="1">
    <brk id="33" max="16383" man="1"/>
  </rowBreaks>
  <ignoredErrors>
    <ignoredError sqref="C17"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8"/>
  <sheetViews>
    <sheetView workbookViewId="0"/>
  </sheetViews>
  <sheetFormatPr defaultRowHeight="12.75"/>
  <cols>
    <col min="1" max="1" width="7.85546875" customWidth="1"/>
    <col min="2" max="2" width="23.85546875" customWidth="1"/>
    <col min="3" max="3" width="4.7109375" customWidth="1"/>
    <col min="4" max="5" width="6.28515625" customWidth="1"/>
    <col min="6" max="6" width="4.85546875" customWidth="1"/>
    <col min="7" max="17" width="5.28515625" customWidth="1"/>
    <col min="18" max="18" width="6.42578125" customWidth="1"/>
    <col min="19" max="20" width="5.28515625" customWidth="1"/>
    <col min="21" max="21" width="6.42578125" customWidth="1"/>
    <col min="22" max="22" width="2.5703125" customWidth="1"/>
    <col min="23" max="23" width="2.28515625" customWidth="1"/>
  </cols>
  <sheetData>
    <row r="1" spans="1:23" s="37" customFormat="1" ht="12.6" customHeight="1">
      <c r="A1" s="20" t="str">
        <f>i!A1</f>
        <v>Lens$db: Lens Price database</v>
      </c>
      <c r="B1" s="45"/>
      <c r="C1" s="46"/>
      <c r="D1" s="20"/>
      <c r="E1" s="46"/>
      <c r="F1" s="46"/>
      <c r="G1" s="30"/>
      <c r="H1" s="30"/>
      <c r="I1" s="16" t="s">
        <v>16</v>
      </c>
      <c r="J1" s="30"/>
      <c r="K1" s="16" t="s">
        <v>16</v>
      </c>
      <c r="L1" s="16"/>
      <c r="M1" s="18"/>
      <c r="N1" s="16"/>
      <c r="O1" s="18"/>
      <c r="P1" s="16" t="s">
        <v>16</v>
      </c>
      <c r="Q1" s="18" t="s">
        <v>16</v>
      </c>
      <c r="R1" s="47" t="str">
        <f>i!B3</f>
        <v>.2016-06-01</v>
      </c>
      <c r="S1" s="47"/>
      <c r="T1" s="18"/>
      <c r="U1" s="16" t="s">
        <v>16</v>
      </c>
      <c r="W1" s="18"/>
    </row>
    <row r="2" spans="1:23" s="37" customFormat="1" ht="12.6" customHeight="1">
      <c r="A2" s="143" t="str">
        <f>i!A3</f>
        <v>v.31</v>
      </c>
      <c r="B2" s="45"/>
      <c r="C2" s="46"/>
      <c r="D2" s="20"/>
      <c r="E2" s="46"/>
      <c r="F2" s="46"/>
      <c r="G2" s="30"/>
      <c r="H2" s="30"/>
      <c r="I2" s="16"/>
      <c r="J2" s="30"/>
      <c r="K2" s="16"/>
      <c r="L2" s="16"/>
      <c r="M2" s="18"/>
      <c r="N2" s="16"/>
      <c r="O2" s="18"/>
      <c r="P2" s="16"/>
      <c r="Q2" s="18"/>
      <c r="R2" s="47"/>
      <c r="S2" s="47"/>
      <c r="T2" s="18"/>
      <c r="U2" s="16"/>
      <c r="W2" s="18"/>
    </row>
    <row r="3" spans="1:23" s="37" customFormat="1" ht="12.6" customHeight="1">
      <c r="A3" s="30"/>
      <c r="B3" s="45"/>
      <c r="C3" s="49"/>
      <c r="D3" s="21"/>
      <c r="E3" s="49"/>
      <c r="F3" s="49"/>
      <c r="G3" s="50"/>
      <c r="H3" s="50"/>
      <c r="I3" s="50"/>
      <c r="J3" s="50"/>
      <c r="K3" s="128"/>
      <c r="L3" s="51"/>
      <c r="M3" s="28"/>
      <c r="N3" s="127" t="s">
        <v>17</v>
      </c>
      <c r="O3" s="28"/>
      <c r="P3" s="134"/>
      <c r="Q3" s="90"/>
      <c r="R3" s="90" t="s">
        <v>18</v>
      </c>
      <c r="S3" s="28"/>
      <c r="T3" s="28"/>
      <c r="U3" s="29"/>
      <c r="W3" s="18"/>
    </row>
    <row r="4" spans="1:23" s="37" customFormat="1" ht="12.6" customHeight="1">
      <c r="A4" s="30" t="s">
        <v>1006</v>
      </c>
      <c r="B4" s="63"/>
      <c r="C4" s="36" t="s">
        <v>6</v>
      </c>
      <c r="D4" s="36" t="s">
        <v>11</v>
      </c>
      <c r="E4" s="36" t="s">
        <v>760</v>
      </c>
      <c r="F4" s="66" t="s">
        <v>13</v>
      </c>
      <c r="G4" s="58" t="s">
        <v>277</v>
      </c>
      <c r="H4" s="53" t="s">
        <v>7</v>
      </c>
      <c r="I4" s="16" t="s">
        <v>325</v>
      </c>
      <c r="J4" s="16" t="s">
        <v>326</v>
      </c>
      <c r="K4" s="31" t="s">
        <v>327</v>
      </c>
      <c r="L4" s="32" t="s">
        <v>506</v>
      </c>
      <c r="M4" s="33"/>
      <c r="N4" s="34" t="s">
        <v>19</v>
      </c>
      <c r="O4" s="27"/>
      <c r="P4" s="54"/>
      <c r="Q4" s="28" t="s">
        <v>507</v>
      </c>
      <c r="R4" s="29"/>
      <c r="S4" s="127"/>
      <c r="T4" s="33" t="s">
        <v>9</v>
      </c>
      <c r="U4" s="33"/>
      <c r="W4" s="18"/>
    </row>
    <row r="5" spans="1:23" s="37" customFormat="1" ht="12.6" customHeight="1">
      <c r="A5" s="38" t="s">
        <v>16</v>
      </c>
      <c r="B5" s="64" t="s">
        <v>16</v>
      </c>
      <c r="C5" s="24" t="s">
        <v>20</v>
      </c>
      <c r="D5" s="24" t="s">
        <v>16</v>
      </c>
      <c r="E5" s="24" t="s">
        <v>20</v>
      </c>
      <c r="F5" s="65" t="s">
        <v>16</v>
      </c>
      <c r="G5" s="55" t="s">
        <v>37</v>
      </c>
      <c r="H5" s="56" t="s">
        <v>21</v>
      </c>
      <c r="I5" s="27" t="s">
        <v>20</v>
      </c>
      <c r="J5" s="27" t="s">
        <v>20</v>
      </c>
      <c r="K5" s="33" t="s">
        <v>20</v>
      </c>
      <c r="L5" s="26" t="s">
        <v>22</v>
      </c>
      <c r="M5" s="33" t="s">
        <v>23</v>
      </c>
      <c r="N5" s="27" t="s">
        <v>22</v>
      </c>
      <c r="O5" s="33" t="s">
        <v>23</v>
      </c>
      <c r="P5" s="26" t="s">
        <v>22</v>
      </c>
      <c r="Q5" s="27" t="s">
        <v>23</v>
      </c>
      <c r="R5" s="33" t="s">
        <v>24</v>
      </c>
      <c r="S5" s="35" t="s">
        <v>22</v>
      </c>
      <c r="T5" s="28" t="s">
        <v>23</v>
      </c>
      <c r="U5" s="29" t="s">
        <v>24</v>
      </c>
      <c r="W5" s="18"/>
    </row>
    <row r="6" spans="1:23">
      <c r="A6" s="143" t="str">
        <f>LNOP!A40</f>
        <v>Nikon</v>
      </c>
      <c r="B6" s="11" t="str">
        <f>LNOP!B40</f>
        <v>Nikkor 6/2.8 FE [220 deg]</v>
      </c>
      <c r="C6" s="16">
        <f>LNOP!C40</f>
        <v>6</v>
      </c>
      <c r="D6" s="18">
        <f>LNOP!D40</f>
        <v>2.8</v>
      </c>
      <c r="E6" s="31">
        <f>LNOP!E40</f>
        <v>9.6</v>
      </c>
      <c r="F6" s="16" t="str">
        <f>LNOP!F40</f>
        <v>AIS</v>
      </c>
      <c r="G6" s="58">
        <f>LNOP!G40</f>
        <v>0.25</v>
      </c>
      <c r="H6" s="53">
        <f>LNOP!H40</f>
        <v>5.2</v>
      </c>
      <c r="I6" s="16">
        <f>LNOP!I40</f>
        <v>160</v>
      </c>
      <c r="J6" s="16">
        <f>LNOP!J40</f>
        <v>236</v>
      </c>
      <c r="K6" s="18" t="str">
        <f>LNOP!K40</f>
        <v>b.i.</v>
      </c>
      <c r="L6" s="25">
        <f>LNOP!L40</f>
        <v>49990</v>
      </c>
      <c r="M6" s="36" t="str">
        <f>LNOP!M40</f>
        <v>.15-04</v>
      </c>
      <c r="N6" s="25">
        <f>LNOP!N40</f>
        <v>62395</v>
      </c>
      <c r="O6" s="73" t="str">
        <f>LNOP!O40</f>
        <v>.14-11</v>
      </c>
      <c r="P6" s="25" t="str">
        <f>LNOP!P40</f>
        <v xml:space="preserve"> </v>
      </c>
      <c r="Q6" s="36" t="str">
        <f>LNOP!Q40</f>
        <v xml:space="preserve"> </v>
      </c>
      <c r="R6" s="31" t="str">
        <f>LNOP!R40</f>
        <v xml:space="preserve"> </v>
      </c>
      <c r="S6" s="25" t="str">
        <f>LNOP!S40</f>
        <v xml:space="preserve"> </v>
      </c>
      <c r="T6" s="36" t="str">
        <f>LNOP!T40</f>
        <v xml:space="preserve"> </v>
      </c>
      <c r="U6" s="31" t="str">
        <f>LNOP!U40</f>
        <v xml:space="preserve"> </v>
      </c>
    </row>
    <row r="7" spans="1:23">
      <c r="A7" s="143" t="str">
        <f>LNOP!A41</f>
        <v>Nikon</v>
      </c>
      <c r="B7" s="11" t="str">
        <f>LNOP!B41</f>
        <v>Nikkor 8/2.8 FE [220 deg]</v>
      </c>
      <c r="C7" s="16">
        <f>LNOP!C41</f>
        <v>8</v>
      </c>
      <c r="D7" s="18">
        <f>LNOP!D41</f>
        <v>2.8</v>
      </c>
      <c r="E7" s="31">
        <f>LNOP!E41</f>
        <v>12.8</v>
      </c>
      <c r="F7" s="16" t="str">
        <f>LNOP!F41</f>
        <v>AIS</v>
      </c>
      <c r="G7" s="58">
        <f>LNOP!G41</f>
        <v>0.3</v>
      </c>
      <c r="H7" s="53">
        <f>LNOP!H41</f>
        <v>1.1000000000000001</v>
      </c>
      <c r="I7" s="16">
        <f>LNOP!I41</f>
        <v>128</v>
      </c>
      <c r="J7" s="16">
        <f>LNOP!J41</f>
        <v>123</v>
      </c>
      <c r="K7" s="18" t="str">
        <f>LNOP!K41</f>
        <v>b.i.</v>
      </c>
      <c r="L7" s="25">
        <f>LNOP!L41</f>
        <v>1571.6</v>
      </c>
      <c r="M7" s="36" t="str">
        <f>LNOP!M41</f>
        <v>.16-05</v>
      </c>
      <c r="N7" s="25">
        <f>LNOP!N41</f>
        <v>2398</v>
      </c>
      <c r="O7" s="73" t="str">
        <f>LNOP!O41</f>
        <v>.16-05</v>
      </c>
      <c r="P7" s="25">
        <f>LNOP!P41</f>
        <v>1670</v>
      </c>
      <c r="Q7" s="36" t="str">
        <f>LNOP!Q41</f>
        <v>.13-07</v>
      </c>
      <c r="R7" s="31" t="str">
        <f>LNOP!R41</f>
        <v>keh</v>
      </c>
      <c r="S7" s="25">
        <f>LNOP!S41</f>
        <v>3495</v>
      </c>
      <c r="T7" s="36" t="str">
        <f>LNOP!T41</f>
        <v>.13-08</v>
      </c>
      <c r="U7" s="31" t="str">
        <f>LNOP!U41</f>
        <v>camW</v>
      </c>
    </row>
    <row r="8" spans="1:23">
      <c r="A8" s="144" t="str">
        <f>LNOP!A42</f>
        <v>Nikon</v>
      </c>
      <c r="B8" s="22" t="str">
        <f>LNOP!B42</f>
        <v>Nikkor 13/5.6</v>
      </c>
      <c r="C8" s="27">
        <f>LNOP!C42</f>
        <v>13</v>
      </c>
      <c r="D8" s="41">
        <f>LNOP!D42</f>
        <v>5.6</v>
      </c>
      <c r="E8" s="33">
        <f>LNOP!E42</f>
        <v>12.8</v>
      </c>
      <c r="F8" s="27" t="str">
        <f>LNOP!F42</f>
        <v>AI</v>
      </c>
      <c r="G8" s="55">
        <f>LNOP!G42</f>
        <v>0.3</v>
      </c>
      <c r="H8" s="56">
        <f>LNOP!H42</f>
        <v>1.2</v>
      </c>
      <c r="I8" s="27">
        <f>LNOP!I42</f>
        <v>88.5</v>
      </c>
      <c r="J8" s="27">
        <f>LNOP!J42</f>
        <v>115</v>
      </c>
      <c r="K8" s="41" t="str">
        <f>LNOP!K42</f>
        <v>rf</v>
      </c>
      <c r="L8" s="26">
        <f>LNOP!L42</f>
        <v>15226.5</v>
      </c>
      <c r="M8" s="24" t="str">
        <f>LNOP!M42</f>
        <v>.14-02</v>
      </c>
      <c r="N8" s="26">
        <f>LNOP!N42</f>
        <v>24995</v>
      </c>
      <c r="O8" s="124" t="str">
        <f>LNOP!O42</f>
        <v>.12-09</v>
      </c>
      <c r="P8" s="26" t="str">
        <f>LNOP!P42</f>
        <v xml:space="preserve"> </v>
      </c>
      <c r="Q8" s="24" t="str">
        <f>LNOP!Q42</f>
        <v xml:space="preserve"> </v>
      </c>
      <c r="R8" s="33" t="str">
        <f>LNOP!R42</f>
        <v xml:space="preserve"> </v>
      </c>
      <c r="S8" s="26" t="str">
        <f>LNOP!S42</f>
        <v xml:space="preserve"> </v>
      </c>
      <c r="T8" s="24" t="str">
        <f>LNOP!T42</f>
        <v xml:space="preserve"> </v>
      </c>
      <c r="U8" s="33" t="str">
        <f>LNOP!U42</f>
        <v xml:space="preserve"> </v>
      </c>
    </row>
    <row r="9" spans="1:23">
      <c r="A9" s="143" t="str">
        <f>EFp!A6</f>
        <v>Canon</v>
      </c>
      <c r="B9" s="11" t="str">
        <f>EFp!B6</f>
        <v xml:space="preserve">EF 14/2.8 L USM </v>
      </c>
      <c r="C9" s="16">
        <f>EFp!C6</f>
        <v>14</v>
      </c>
      <c r="D9" s="18">
        <f>EFp!D6</f>
        <v>2.8</v>
      </c>
      <c r="E9" s="31">
        <f>EFp!E6</f>
        <v>22.400000000000002</v>
      </c>
      <c r="F9" s="16" t="str">
        <f>EFp!F6</f>
        <v>EF</v>
      </c>
      <c r="G9" s="58">
        <f>EFp!G6</f>
        <v>0.25</v>
      </c>
      <c r="H9" s="53">
        <f>EFp!H6</f>
        <v>0.56000000000000005</v>
      </c>
      <c r="I9" s="16">
        <f>EFp!I6</f>
        <v>89</v>
      </c>
      <c r="J9" s="16">
        <f>EFp!J6</f>
        <v>77</v>
      </c>
      <c r="K9" s="18" t="str">
        <f>EFp!K6</f>
        <v>rg</v>
      </c>
      <c r="L9" s="25">
        <f>EFp!L6</f>
        <v>798.375</v>
      </c>
      <c r="M9" s="36" t="str">
        <f>EFp!M6</f>
        <v>.16-05</v>
      </c>
      <c r="N9" s="25">
        <f>EFp!N6</f>
        <v>1124.1111111111111</v>
      </c>
      <c r="O9" s="73" t="str">
        <f>EFp!O6</f>
        <v>.16-03</v>
      </c>
      <c r="P9" s="25">
        <f>EFp!P6</f>
        <v>1140</v>
      </c>
      <c r="Q9" s="36" t="str">
        <f>EFp!Q6</f>
        <v>.15-11</v>
      </c>
      <c r="R9" s="31" t="str">
        <f>EFp!R6</f>
        <v>henrys</v>
      </c>
      <c r="S9" s="25" t="str">
        <f>EFp!S6</f>
        <v xml:space="preserve"> </v>
      </c>
      <c r="T9" s="36" t="str">
        <f>EFp!T6</f>
        <v xml:space="preserve"> </v>
      </c>
      <c r="U9" s="31" t="str">
        <f>EFp!U6</f>
        <v xml:space="preserve"> </v>
      </c>
      <c r="V9" s="19"/>
      <c r="W9" s="17"/>
    </row>
    <row r="10" spans="1:23">
      <c r="A10" s="143" t="str">
        <f>EFp!A7</f>
        <v>Canon</v>
      </c>
      <c r="B10" s="11" t="str">
        <f>EFp!B7</f>
        <v xml:space="preserve">EF 14/2.8 L II USM </v>
      </c>
      <c r="C10" s="16">
        <f>EFp!C7</f>
        <v>14</v>
      </c>
      <c r="D10" s="18">
        <f>EFp!D7</f>
        <v>2.8</v>
      </c>
      <c r="E10" s="31">
        <f>EFp!E7</f>
        <v>22.400000000000002</v>
      </c>
      <c r="F10" s="16" t="str">
        <f>EFp!F7</f>
        <v>EF</v>
      </c>
      <c r="G10" s="58">
        <f>EFp!G7</f>
        <v>0.2</v>
      </c>
      <c r="H10" s="53">
        <f>EFp!H7</f>
        <v>0.64500000000000002</v>
      </c>
      <c r="I10" s="16">
        <f>EFp!I7</f>
        <v>94</v>
      </c>
      <c r="J10" s="16">
        <f>EFp!J7</f>
        <v>80</v>
      </c>
      <c r="K10" s="18" t="str">
        <f>EFp!K7</f>
        <v>rg</v>
      </c>
      <c r="L10" s="25">
        <f>EFp!L7</f>
        <v>1167.5999999999999</v>
      </c>
      <c r="M10" s="36" t="str">
        <f>EFp!M7</f>
        <v>.16-05</v>
      </c>
      <c r="N10" s="25">
        <f>EFp!N7</f>
        <v>1421.3333333333333</v>
      </c>
      <c r="O10" s="73" t="str">
        <f>EFp!O7</f>
        <v>.16-05</v>
      </c>
      <c r="P10" s="25">
        <f>EFp!P7</f>
        <v>1295</v>
      </c>
      <c r="Q10" s="36" t="str">
        <f>EFp!Q7</f>
        <v>.16-01</v>
      </c>
      <c r="R10" s="31" t="str">
        <f>EFp!R7</f>
        <v>igor</v>
      </c>
      <c r="S10" s="25">
        <f>EFp!S7</f>
        <v>1560</v>
      </c>
      <c r="T10" s="36" t="str">
        <f>EFp!T7</f>
        <v>.16-01</v>
      </c>
      <c r="U10" s="31" t="str">
        <f>EFp!U7</f>
        <v>LA</v>
      </c>
    </row>
    <row r="11" spans="1:23">
      <c r="A11" s="143" t="str">
        <f>STT!A7</f>
        <v>Sigma</v>
      </c>
      <c r="B11" s="11" t="str">
        <f>STT!B7</f>
        <v>EX 14/2.8 ASP IF DG</v>
      </c>
      <c r="C11" s="16">
        <f>STT!C7</f>
        <v>14</v>
      </c>
      <c r="D11" s="18">
        <f>STT!D7</f>
        <v>2.8</v>
      </c>
      <c r="E11" s="31">
        <f>STT!E7</f>
        <v>22.400000000000002</v>
      </c>
      <c r="F11" s="16" t="str">
        <f>STT!F7</f>
        <v>EF</v>
      </c>
      <c r="G11" s="58">
        <f>STT!G7</f>
        <v>0.18</v>
      </c>
      <c r="H11" s="53">
        <f>STT!H7</f>
        <v>0.63</v>
      </c>
      <c r="I11" s="16">
        <f>STT!I7</f>
        <v>91</v>
      </c>
      <c r="J11" s="16">
        <f>STT!J7</f>
        <v>82</v>
      </c>
      <c r="K11" s="18" t="str">
        <f>STT!K7</f>
        <v>rg</v>
      </c>
      <c r="L11" s="25">
        <f>STT!L7</f>
        <v>375.375</v>
      </c>
      <c r="M11" s="36" t="str">
        <f>STT!M7</f>
        <v>.16-04</v>
      </c>
      <c r="N11" s="25">
        <f>STT!N7</f>
        <v>505.66666666666669</v>
      </c>
      <c r="O11" s="73" t="str">
        <f>STT!O7</f>
        <v>.16-05</v>
      </c>
      <c r="P11" s="25">
        <f>STT!P7</f>
        <v>487</v>
      </c>
      <c r="Q11" s="36" t="str">
        <f>STT!Q7</f>
        <v>.15-04</v>
      </c>
      <c r="R11" s="31" t="str">
        <f>STT!R7</f>
        <v>keh</v>
      </c>
      <c r="S11" s="25" t="str">
        <f>STT!S7</f>
        <v xml:space="preserve"> </v>
      </c>
      <c r="T11" s="36" t="str">
        <f>STT!T7</f>
        <v xml:space="preserve"> </v>
      </c>
      <c r="U11" s="31" t="str">
        <f>STT!U7</f>
        <v xml:space="preserve"> </v>
      </c>
    </row>
    <row r="12" spans="1:23">
      <c r="A12" s="143" t="str">
        <f>STT!A47</f>
        <v>Tamron</v>
      </c>
      <c r="B12" s="11" t="str">
        <f>STT!B47</f>
        <v>SP 14/2.8 LD Asp IF</v>
      </c>
      <c r="C12" s="16">
        <f>STT!C47</f>
        <v>14</v>
      </c>
      <c r="D12" s="18">
        <f>STT!D47</f>
        <v>2.8</v>
      </c>
      <c r="E12" s="31">
        <f>STT!E47</f>
        <v>22.400000000000002</v>
      </c>
      <c r="F12" s="16" t="str">
        <f>STT!F47</f>
        <v>EF</v>
      </c>
      <c r="G12" s="58">
        <f>STT!G47</f>
        <v>0.2</v>
      </c>
      <c r="H12" s="53">
        <f>STT!H47</f>
        <v>0.66</v>
      </c>
      <c r="I12" s="16">
        <f>STT!I47</f>
        <v>89</v>
      </c>
      <c r="J12" s="16">
        <f>STT!J47</f>
        <v>87</v>
      </c>
      <c r="K12" s="18" t="str">
        <f>STT!K47</f>
        <v>rg</v>
      </c>
      <c r="L12" s="25">
        <f>STT!L47</f>
        <v>366.57142857142856</v>
      </c>
      <c r="M12" s="36" t="str">
        <f>STT!M47</f>
        <v>.14-08</v>
      </c>
      <c r="N12" s="25">
        <f>STT!N47</f>
        <v>447</v>
      </c>
      <c r="O12" s="73" t="str">
        <f>STT!O47</f>
        <v>.14-03</v>
      </c>
      <c r="P12" s="25">
        <f>STT!P47</f>
        <v>465</v>
      </c>
      <c r="Q12" s="36" t="str">
        <f>STT!Q47</f>
        <v>.15-11</v>
      </c>
      <c r="R12" s="31" t="str">
        <f>STT!R47</f>
        <v>jack's</v>
      </c>
      <c r="S12" s="25">
        <f>STT!S47</f>
        <v>500</v>
      </c>
      <c r="T12" s="36" t="str">
        <f>STT!T47</f>
        <v>.13-06</v>
      </c>
      <c r="U12" s="31" t="str">
        <f>STT!U47</f>
        <v>camren</v>
      </c>
    </row>
    <row r="13" spans="1:23">
      <c r="A13" s="144" t="str">
        <f>LNOP!A150</f>
        <v>Samyang</v>
      </c>
      <c r="B13" s="22" t="str">
        <f>LNOP!B150</f>
        <v>14/2.8 AS UMC</v>
      </c>
      <c r="C13" s="27">
        <f>LNOP!C150</f>
        <v>14</v>
      </c>
      <c r="D13" s="41">
        <f>LNOP!D150</f>
        <v>2.8</v>
      </c>
      <c r="E13" s="33">
        <f>LNOP!E150</f>
        <v>22.400000000000002</v>
      </c>
      <c r="F13" s="27" t="str">
        <f>LNOP!F150</f>
        <v>EFx</v>
      </c>
      <c r="G13" s="55">
        <f>LNOP!G150</f>
        <v>0.28000000000000003</v>
      </c>
      <c r="H13" s="56">
        <f>LNOP!H150</f>
        <v>0.57299999999999995</v>
      </c>
      <c r="I13" s="27">
        <f>LNOP!I150</f>
        <v>93.6</v>
      </c>
      <c r="J13" s="27">
        <f>LNOP!J150</f>
        <v>87</v>
      </c>
      <c r="K13" s="41" t="str">
        <f>LNOP!K150</f>
        <v>x</v>
      </c>
      <c r="L13" s="26">
        <f>LNOP!L150</f>
        <v>210.85714285714286</v>
      </c>
      <c r="M13" s="24" t="str">
        <f>LNOP!M150</f>
        <v>.16-05</v>
      </c>
      <c r="N13" s="26">
        <f>LNOP!N150</f>
        <v>279</v>
      </c>
      <c r="O13" s="124" t="str">
        <f>LNOP!O150</f>
        <v>.16-05</v>
      </c>
      <c r="P13" s="26">
        <f>LNOP!P150</f>
        <v>250</v>
      </c>
      <c r="Q13" s="24" t="str">
        <f>LNOP!Q150</f>
        <v>.15-11</v>
      </c>
      <c r="R13" s="33" t="str">
        <f>LNOP!R150</f>
        <v>ado</v>
      </c>
      <c r="S13" s="26">
        <f>LNOP!S150</f>
        <v>240</v>
      </c>
      <c r="T13" s="24" t="str">
        <f>LNOP!T150</f>
        <v>.16-01</v>
      </c>
      <c r="U13" s="33" t="str">
        <f>LNOP!U150</f>
        <v>ado</v>
      </c>
    </row>
    <row r="14" spans="1:23">
      <c r="A14" s="143" t="str">
        <f>EFp!A8</f>
        <v>Canon</v>
      </c>
      <c r="B14" s="11" t="str">
        <f>EFp!B8</f>
        <v xml:space="preserve">EF 15/2.8 (180/44) </v>
      </c>
      <c r="C14" s="16">
        <f>EFp!C8</f>
        <v>15</v>
      </c>
      <c r="D14" s="18">
        <f>EFp!D8</f>
        <v>2.8</v>
      </c>
      <c r="E14" s="31">
        <f>EFp!E8</f>
        <v>24</v>
      </c>
      <c r="F14" s="16" t="str">
        <f>EFp!F8</f>
        <v>EF</v>
      </c>
      <c r="G14" s="58">
        <f>EFp!G8</f>
        <v>0.2</v>
      </c>
      <c r="H14" s="53">
        <f>EFp!H8</f>
        <v>0.33</v>
      </c>
      <c r="I14" s="16">
        <f>EFp!I8</f>
        <v>62.2</v>
      </c>
      <c r="J14" s="16">
        <f>EFp!J8</f>
        <v>73</v>
      </c>
      <c r="K14" s="18" t="str">
        <f>EFp!K8</f>
        <v>rg</v>
      </c>
      <c r="L14" s="25">
        <f>EFp!L8</f>
        <v>416.3</v>
      </c>
      <c r="M14" s="36" t="str">
        <f>EFp!M8</f>
        <v>.16-05</v>
      </c>
      <c r="N14" s="25">
        <f>EFp!N8</f>
        <v>592.79999999999995</v>
      </c>
      <c r="O14" s="73" t="str">
        <f>EFp!O8</f>
        <v>.16-05</v>
      </c>
      <c r="P14" s="25">
        <f>EFp!P8</f>
        <v>650</v>
      </c>
      <c r="Q14" s="36" t="str">
        <f>EFp!Q8</f>
        <v>.16-01</v>
      </c>
      <c r="R14" s="31" t="str">
        <f>EFp!R8</f>
        <v>keh</v>
      </c>
      <c r="S14" s="25">
        <f>EFp!S8</f>
        <v>730</v>
      </c>
      <c r="T14" s="36" t="str">
        <f>EFp!T8</f>
        <v>.15-04</v>
      </c>
      <c r="U14" s="31" t="str">
        <f>EFp!U8</f>
        <v>keh</v>
      </c>
    </row>
    <row r="15" spans="1:23">
      <c r="A15" s="143" t="str">
        <f>CZ.V!A18</f>
        <v>Carl Zeiss</v>
      </c>
      <c r="B15" s="11" t="str">
        <f>CZ.V!B18</f>
        <v>Distagon T* 15/2.8 ZE</v>
      </c>
      <c r="C15" s="16">
        <f>CZ.V!C18</f>
        <v>15</v>
      </c>
      <c r="D15" s="18">
        <f>CZ.V!D18</f>
        <v>2.8</v>
      </c>
      <c r="E15" s="31">
        <f>CZ.V!E18</f>
        <v>24</v>
      </c>
      <c r="F15" s="16" t="str">
        <f>CZ.V!F18</f>
        <v>ZE</v>
      </c>
      <c r="G15" s="58">
        <f>CZ.V!G18</f>
        <v>0.25</v>
      </c>
      <c r="H15" s="53">
        <f>CZ.V!H18</f>
        <v>0.82</v>
      </c>
      <c r="I15" s="16">
        <f>CZ.V!I18</f>
        <v>116</v>
      </c>
      <c r="J15" s="16">
        <f>CZ.V!J18</f>
        <v>103</v>
      </c>
      <c r="K15" s="18">
        <f>CZ.V!K18</f>
        <v>95</v>
      </c>
      <c r="L15" s="25">
        <f>CZ.V!L18</f>
        <v>1915.5</v>
      </c>
      <c r="M15" s="36" t="str">
        <f>CZ.V!M18</f>
        <v>.16-05</v>
      </c>
      <c r="N15" s="25">
        <f>CZ.V!N18</f>
        <v>2569</v>
      </c>
      <c r="O15" s="73" t="str">
        <f>CZ.V!O18</f>
        <v>.15-02</v>
      </c>
      <c r="P15" s="25">
        <f>CZ.V!P18</f>
        <v>1750</v>
      </c>
      <c r="Q15" s="36" t="str">
        <f>CZ.V!Q18</f>
        <v>.16-03</v>
      </c>
      <c r="R15" s="31" t="str">
        <f>CZ.V!R18</f>
        <v>LA</v>
      </c>
      <c r="S15" s="25">
        <f>CZ.V!S18</f>
        <v>2511.8000000000002</v>
      </c>
      <c r="T15" s="36" t="str">
        <f>CZ.V!T18</f>
        <v>.15-04</v>
      </c>
      <c r="U15" s="31" t="str">
        <f>CZ.V!U18</f>
        <v>camtec</v>
      </c>
    </row>
    <row r="16" spans="1:23">
      <c r="A16" s="143" t="str">
        <f>LNOP!A7</f>
        <v>Leica</v>
      </c>
      <c r="B16" s="11" t="str">
        <f>LNOP!B7</f>
        <v>Super-Elmarit-R 15/2.8 Asp ROM</v>
      </c>
      <c r="C16" s="16">
        <f>LNOP!C7</f>
        <v>15</v>
      </c>
      <c r="D16" s="18">
        <f>LNOP!D7</f>
        <v>2.8</v>
      </c>
      <c r="E16" s="31">
        <f>LNOP!E7</f>
        <v>24</v>
      </c>
      <c r="F16" s="16" t="str">
        <f>LNOP!F7</f>
        <v>LR</v>
      </c>
      <c r="G16" s="58">
        <f>LNOP!G7</f>
        <v>0.18</v>
      </c>
      <c r="H16" s="53">
        <f>LNOP!H7</f>
        <v>0.71</v>
      </c>
      <c r="I16" s="16">
        <f>LNOP!I7</f>
        <v>85.3</v>
      </c>
      <c r="J16" s="16">
        <f>LNOP!J7</f>
        <v>83.5</v>
      </c>
      <c r="K16" s="18" t="str">
        <f>LNOP!K7</f>
        <v>b.i.</v>
      </c>
      <c r="L16" s="25">
        <f>LNOP!L7</f>
        <v>0</v>
      </c>
      <c r="M16" s="36" t="str">
        <f>LNOP!M7</f>
        <v xml:space="preserve"> </v>
      </c>
      <c r="N16" s="25">
        <f>LNOP!N7</f>
        <v>6502.333333333333</v>
      </c>
      <c r="O16" s="73" t="str">
        <f>LNOP!O7</f>
        <v>.16-01</v>
      </c>
      <c r="P16" s="25" t="str">
        <f>LNOP!P7</f>
        <v xml:space="preserve"> </v>
      </c>
      <c r="Q16" s="36" t="str">
        <f>LNOP!Q7</f>
        <v xml:space="preserve"> </v>
      </c>
      <c r="R16" s="31" t="str">
        <f>LNOP!R7</f>
        <v xml:space="preserve"> </v>
      </c>
      <c r="S16" s="25" t="str">
        <f>LNOP!S7</f>
        <v xml:space="preserve"> </v>
      </c>
      <c r="T16" s="36" t="str">
        <f>LNOP!T7</f>
        <v xml:space="preserve"> </v>
      </c>
      <c r="U16" s="31" t="str">
        <f>LNOP!U7</f>
        <v xml:space="preserve"> </v>
      </c>
    </row>
    <row r="17" spans="1:21">
      <c r="A17" s="143" t="str">
        <f>CZ.V!A31</f>
        <v>Carl Zeiss</v>
      </c>
      <c r="B17" s="11" t="str">
        <f>CZ.V!B31</f>
        <v>Distagon T* 15/3.5 CY [x]</v>
      </c>
      <c r="C17" s="16">
        <f>CZ.V!C31</f>
        <v>15</v>
      </c>
      <c r="D17" s="18">
        <f>CZ.V!D31</f>
        <v>3.5</v>
      </c>
      <c r="E17" s="31">
        <f>CZ.V!E31</f>
        <v>24</v>
      </c>
      <c r="F17" s="16" t="str">
        <f>CZ.V!F31</f>
        <v>CY</v>
      </c>
      <c r="G17" s="58">
        <f>CZ.V!G31</f>
        <v>0.16</v>
      </c>
      <c r="H17" s="53">
        <f>CZ.V!H31</f>
        <v>0.875</v>
      </c>
      <c r="I17" s="16">
        <f>CZ.V!I31</f>
        <v>94</v>
      </c>
      <c r="J17" s="16">
        <f>CZ.V!J31</f>
        <v>83.5</v>
      </c>
      <c r="K17" s="18" t="str">
        <f>CZ.V!K31</f>
        <v>bi</v>
      </c>
      <c r="L17" s="25">
        <f>CZ.V!L31</f>
        <v>1637.5</v>
      </c>
      <c r="M17" s="36" t="str">
        <f>CZ.V!M31</f>
        <v>.16-01</v>
      </c>
      <c r="N17" s="25">
        <f>CZ.V!N31</f>
        <v>2625.5</v>
      </c>
      <c r="O17" s="73" t="str">
        <f>CZ.V!O31</f>
        <v>.13-08</v>
      </c>
      <c r="P17" s="25">
        <f>CZ.V!P31</f>
        <v>1742</v>
      </c>
      <c r="Q17" s="36" t="str">
        <f>CZ.V!Q31</f>
        <v>.16-05</v>
      </c>
      <c r="R17" s="31" t="str">
        <f>CZ.V!R31</f>
        <v>keh</v>
      </c>
      <c r="S17" s="25">
        <f>CZ.V!S31</f>
        <v>3600</v>
      </c>
      <c r="T17" s="36" t="str">
        <f>CZ.V!T31</f>
        <v>.15-01</v>
      </c>
      <c r="U17" s="31" t="str">
        <f>CZ.V!U31</f>
        <v>kevin</v>
      </c>
    </row>
    <row r="18" spans="1:21">
      <c r="A18" s="143" t="str">
        <f>LNOP!A8</f>
        <v>Leica</v>
      </c>
      <c r="B18" s="11" t="str">
        <f>LNOP!B8</f>
        <v>Super-Elmar-R 15/3,5 [x] (Zeiss)</v>
      </c>
      <c r="C18" s="16">
        <f>LNOP!C8</f>
        <v>15</v>
      </c>
      <c r="D18" s="18">
        <f>LNOP!D8</f>
        <v>3.5</v>
      </c>
      <c r="E18" s="31">
        <f>LNOP!E8</f>
        <v>24</v>
      </c>
      <c r="F18" s="16" t="str">
        <f>LNOP!F8</f>
        <v>LR</v>
      </c>
      <c r="G18" s="58">
        <f>LNOP!G8</f>
        <v>0.16</v>
      </c>
      <c r="H18" s="53">
        <f>LNOP!H8</f>
        <v>0.91</v>
      </c>
      <c r="I18" s="16">
        <f>LNOP!I8</f>
        <v>92.5</v>
      </c>
      <c r="J18" s="16" t="str">
        <f>LNOP!J8</f>
        <v xml:space="preserve"> </v>
      </c>
      <c r="K18" s="18" t="str">
        <f>LNOP!K8</f>
        <v>b.i.</v>
      </c>
      <c r="L18" s="25">
        <f>LNOP!L8</f>
        <v>1824.2857142857142</v>
      </c>
      <c r="M18" s="36" t="str">
        <f>LNOP!M8</f>
        <v>.16-05</v>
      </c>
      <c r="N18" s="25">
        <f>LNOP!N8</f>
        <v>2225</v>
      </c>
      <c r="O18" s="73" t="str">
        <f>LNOP!O8</f>
        <v>.16-03</v>
      </c>
      <c r="P18" s="25">
        <f>LNOP!P8</f>
        <v>2395</v>
      </c>
      <c r="Q18" s="36" t="str">
        <f>LNOP!Q8</f>
        <v>.16-01</v>
      </c>
      <c r="R18" s="31" t="str">
        <f>LNOP!R8</f>
        <v>camW</v>
      </c>
      <c r="S18" s="25" t="str">
        <f>LNOP!S8</f>
        <v xml:space="preserve"> </v>
      </c>
      <c r="T18" s="36" t="str">
        <f>LNOP!T8</f>
        <v xml:space="preserve"> </v>
      </c>
      <c r="U18" s="31" t="str">
        <f>LNOP!U8</f>
        <v xml:space="preserve"> </v>
      </c>
    </row>
    <row r="19" spans="1:21">
      <c r="A19" s="143" t="str">
        <f>LNOP!A43</f>
        <v>Nikon</v>
      </c>
      <c r="B19" s="11" t="str">
        <f>LNOP!B43</f>
        <v>Nikkor 15/3.5</v>
      </c>
      <c r="C19" s="16">
        <f>LNOP!C43</f>
        <v>15</v>
      </c>
      <c r="D19" s="18">
        <f>LNOP!D43</f>
        <v>3.5</v>
      </c>
      <c r="E19" s="31">
        <f>LNOP!E43</f>
        <v>24</v>
      </c>
      <c r="F19" s="16" t="str">
        <f>LNOP!F43</f>
        <v>AIS</v>
      </c>
      <c r="G19" s="58">
        <f>LNOP!G43</f>
        <v>0.3</v>
      </c>
      <c r="H19" s="53">
        <f>LNOP!H43</f>
        <v>0.63</v>
      </c>
      <c r="I19" s="16">
        <f>LNOP!I43</f>
        <v>83.5</v>
      </c>
      <c r="J19" s="16">
        <f>LNOP!J43</f>
        <v>90</v>
      </c>
      <c r="K19" s="18">
        <f>LNOP!K43</f>
        <v>94</v>
      </c>
      <c r="L19" s="25">
        <f>LNOP!L43</f>
        <v>633.6</v>
      </c>
      <c r="M19" s="36" t="str">
        <f>LNOP!M43</f>
        <v>.16-05</v>
      </c>
      <c r="N19" s="25">
        <f>LNOP!N43</f>
        <v>972.1</v>
      </c>
      <c r="O19" s="73" t="str">
        <f>LNOP!O43</f>
        <v>.16-03</v>
      </c>
      <c r="P19" s="25">
        <f>LNOP!P43</f>
        <v>950</v>
      </c>
      <c r="Q19" s="36" t="str">
        <f>LNOP!Q43</f>
        <v>.16-01</v>
      </c>
      <c r="R19" s="31" t="str">
        <f>LNOP!R43</f>
        <v>b&amp;h</v>
      </c>
      <c r="S19" s="25">
        <f>LNOP!S43</f>
        <v>1400</v>
      </c>
      <c r="T19" s="36" t="str">
        <f>LNOP!T43</f>
        <v>.15-04</v>
      </c>
      <c r="U19" s="31" t="str">
        <f>LNOP!U43</f>
        <v>b&amp;h</v>
      </c>
    </row>
    <row r="20" spans="1:21">
      <c r="A20" s="143" t="str">
        <f>LNOP!A97</f>
        <v>Pentax</v>
      </c>
      <c r="B20" s="11" t="str">
        <f>LNOP!B97</f>
        <v>SMC Takumar 15mm f/3.5</v>
      </c>
      <c r="C20" s="16">
        <f>LNOP!C97</f>
        <v>15</v>
      </c>
      <c r="D20" s="18">
        <f>LNOP!D97</f>
        <v>3.5</v>
      </c>
      <c r="E20" s="31">
        <f>LNOP!E97</f>
        <v>24</v>
      </c>
      <c r="F20" s="16" t="str">
        <f>LNOP!F97</f>
        <v>M42</v>
      </c>
      <c r="G20" s="58">
        <f>LNOP!G97</f>
        <v>0.3</v>
      </c>
      <c r="H20" s="53">
        <f>LNOP!H97</f>
        <v>0.56999999999999995</v>
      </c>
      <c r="I20" s="16">
        <f>LNOP!I97</f>
        <v>82</v>
      </c>
      <c r="J20" s="16">
        <f>LNOP!J97</f>
        <v>80</v>
      </c>
      <c r="K20" s="18" t="str">
        <f>LNOP!K97</f>
        <v>bi</v>
      </c>
      <c r="L20" s="25">
        <f>LNOP!L97</f>
        <v>0</v>
      </c>
      <c r="M20" s="36" t="str">
        <f>LNOP!M97</f>
        <v xml:space="preserve"> </v>
      </c>
      <c r="N20" s="25">
        <f>LNOP!N97</f>
        <v>850</v>
      </c>
      <c r="O20" s="73" t="str">
        <f>LNOP!O97</f>
        <v>.15-11</v>
      </c>
      <c r="P20" s="25" t="str">
        <f>LNOP!P97</f>
        <v xml:space="preserve"> </v>
      </c>
      <c r="Q20" s="36" t="str">
        <f>LNOP!Q97</f>
        <v xml:space="preserve"> </v>
      </c>
      <c r="R20" s="31" t="str">
        <f>LNOP!R97</f>
        <v xml:space="preserve"> </v>
      </c>
      <c r="S20" s="25" t="str">
        <f>LNOP!S97</f>
        <v xml:space="preserve"> </v>
      </c>
      <c r="T20" s="36" t="str">
        <f>LNOP!T97</f>
        <v xml:space="preserve"> </v>
      </c>
      <c r="U20" s="31" t="str">
        <f>LNOP!U97</f>
        <v xml:space="preserve"> </v>
      </c>
    </row>
    <row r="21" spans="1:21">
      <c r="A21" s="143" t="str">
        <f>LNOP!A98</f>
        <v>Pentax</v>
      </c>
      <c r="B21" s="11" t="str">
        <f>LNOP!B98</f>
        <v>SMC Takumar "1:3.5/15" (AL)</v>
      </c>
      <c r="C21" s="16">
        <f>LNOP!C98</f>
        <v>15</v>
      </c>
      <c r="D21" s="18">
        <f>LNOP!D98</f>
        <v>3.5</v>
      </c>
      <c r="E21" s="31">
        <f>LNOP!E98</f>
        <v>24</v>
      </c>
      <c r="F21" s="16" t="str">
        <f>LNOP!F98</f>
        <v>M42</v>
      </c>
      <c r="G21" s="58" t="str">
        <f>LNOP!G98</f>
        <v xml:space="preserve"> </v>
      </c>
      <c r="H21" s="53" t="str">
        <f>LNOP!H98</f>
        <v xml:space="preserve"> </v>
      </c>
      <c r="I21" s="16" t="str">
        <f>LNOP!I98</f>
        <v xml:space="preserve"> </v>
      </c>
      <c r="J21" s="16" t="str">
        <f>LNOP!J98</f>
        <v xml:space="preserve"> </v>
      </c>
      <c r="K21" s="18" t="str">
        <f>LNOP!K98</f>
        <v xml:space="preserve"> </v>
      </c>
      <c r="L21" s="25">
        <f>LNOP!L98</f>
        <v>856.33333333333337</v>
      </c>
      <c r="M21" s="36" t="str">
        <f>LNOP!M98</f>
        <v>.16-01</v>
      </c>
      <c r="N21" s="25">
        <f>LNOP!N98</f>
        <v>0</v>
      </c>
      <c r="O21" s="73" t="str">
        <f>LNOP!O98</f>
        <v xml:space="preserve"> </v>
      </c>
      <c r="P21" s="25" t="str">
        <f>LNOP!P98</f>
        <v xml:space="preserve"> </v>
      </c>
      <c r="Q21" s="36" t="str">
        <f>LNOP!Q98</f>
        <v xml:space="preserve"> </v>
      </c>
      <c r="R21" s="31" t="str">
        <f>LNOP!R98</f>
        <v xml:space="preserve"> </v>
      </c>
      <c r="S21" s="25">
        <f>LNOP!S98</f>
        <v>1700</v>
      </c>
      <c r="T21" s="36" t="str">
        <f>LNOP!T98</f>
        <v>.12-02</v>
      </c>
      <c r="U21" s="31" t="str">
        <f>LNOP!U98</f>
        <v>kevin</v>
      </c>
    </row>
    <row r="22" spans="1:21">
      <c r="A22" s="143" t="str">
        <f>LNOP!A109</f>
        <v>Pentax</v>
      </c>
      <c r="B22" s="11" t="str">
        <f>LNOP!B109</f>
        <v>SMC Pentax "1:3.5/15mm" (AL)</v>
      </c>
      <c r="C22" s="16">
        <f>LNOP!C109</f>
        <v>15</v>
      </c>
      <c r="D22" s="18">
        <f>LNOP!D109</f>
        <v>3.5</v>
      </c>
      <c r="E22" s="31">
        <f>LNOP!E109</f>
        <v>24</v>
      </c>
      <c r="F22" s="16" t="str">
        <f>LNOP!F109</f>
        <v>K</v>
      </c>
      <c r="G22" s="58">
        <f>LNOP!G109</f>
        <v>0.3</v>
      </c>
      <c r="H22" s="53">
        <f>LNOP!H109</f>
        <v>0.55000000000000004</v>
      </c>
      <c r="I22" s="16">
        <f>LNOP!I109</f>
        <v>82</v>
      </c>
      <c r="J22" s="16">
        <f>LNOP!J109</f>
        <v>80</v>
      </c>
      <c r="K22" s="18" t="str">
        <f>LNOP!K109</f>
        <v>bi</v>
      </c>
      <c r="L22" s="25">
        <f>LNOP!L109</f>
        <v>642.66666666666663</v>
      </c>
      <c r="M22" s="36" t="str">
        <f>LNOP!M109</f>
        <v>.15-08</v>
      </c>
      <c r="N22" s="25">
        <f>LNOP!N109</f>
        <v>617.16666666666663</v>
      </c>
      <c r="O22" s="73" t="str">
        <f>LNOP!O109</f>
        <v>.16-03</v>
      </c>
      <c r="P22" s="25">
        <f>LNOP!P109</f>
        <v>800</v>
      </c>
      <c r="Q22" s="36" t="str">
        <f>LNOP!Q109</f>
        <v>.16-01</v>
      </c>
      <c r="R22" s="31" t="str">
        <f>LNOP!R109</f>
        <v>b&amp;h</v>
      </c>
      <c r="S22" s="25" t="str">
        <f>LNOP!S109</f>
        <v xml:space="preserve"> </v>
      </c>
      <c r="T22" s="36" t="str">
        <f>LNOP!T109</f>
        <v xml:space="preserve"> </v>
      </c>
      <c r="U22" s="31" t="str">
        <f>LNOP!U109</f>
        <v xml:space="preserve"> </v>
      </c>
    </row>
    <row r="23" spans="1:21">
      <c r="A23" s="143" t="str">
        <f>LNOP!A110</f>
        <v>Pentax</v>
      </c>
      <c r="B23" s="11" t="str">
        <f>LNOP!B110</f>
        <v>SMC Pentax "1:3.5 15mm" (not)</v>
      </c>
      <c r="C23" s="16">
        <f>LNOP!C110</f>
        <v>15</v>
      </c>
      <c r="D23" s="18">
        <f>LNOP!D110</f>
        <v>3.5</v>
      </c>
      <c r="E23" s="31">
        <f>LNOP!E110</f>
        <v>24</v>
      </c>
      <c r="F23" s="16" t="str">
        <f>LNOP!F110</f>
        <v>K</v>
      </c>
      <c r="G23" s="58">
        <f>LNOP!G110</f>
        <v>0.3</v>
      </c>
      <c r="H23" s="53">
        <f>LNOP!H110</f>
        <v>0.6</v>
      </c>
      <c r="I23" s="16">
        <f>LNOP!I110</f>
        <v>82</v>
      </c>
      <c r="J23" s="16">
        <f>LNOP!J110</f>
        <v>80</v>
      </c>
      <c r="K23" s="18">
        <f>LNOP!K110</f>
        <v>1</v>
      </c>
      <c r="L23" s="25">
        <f>LNOP!L110</f>
        <v>0</v>
      </c>
      <c r="M23" s="36" t="str">
        <f>LNOP!M110</f>
        <v xml:space="preserve"> </v>
      </c>
      <c r="N23" s="25">
        <f>LNOP!N110</f>
        <v>775.27272727272725</v>
      </c>
      <c r="O23" s="73" t="str">
        <f>LNOP!O110</f>
        <v>.16-01</v>
      </c>
      <c r="P23" s="25">
        <f>LNOP!P110</f>
        <v>730</v>
      </c>
      <c r="Q23" s="36" t="str">
        <f>LNOP!Q110</f>
        <v>.14-08</v>
      </c>
      <c r="R23" s="31" t="str">
        <f>LNOP!R110</f>
        <v>keh</v>
      </c>
      <c r="S23" s="25">
        <f>LNOP!S110</f>
        <v>1000</v>
      </c>
      <c r="T23" s="36" t="str">
        <f>LNOP!T110</f>
        <v>.14-08</v>
      </c>
      <c r="U23" s="31" t="str">
        <f>LNOP!U110</f>
        <v>b&amp;h</v>
      </c>
    </row>
    <row r="24" spans="1:21">
      <c r="A24" s="144" t="str">
        <f>LNOP!A111</f>
        <v>Pentax</v>
      </c>
      <c r="B24" s="22" t="str">
        <f>LNOP!B111</f>
        <v>SMC Pentax-A 15/3.5</v>
      </c>
      <c r="C24" s="27">
        <f>LNOP!C111</f>
        <v>15</v>
      </c>
      <c r="D24" s="41">
        <f>LNOP!D111</f>
        <v>3.5</v>
      </c>
      <c r="E24" s="33">
        <f>LNOP!E111</f>
        <v>24</v>
      </c>
      <c r="F24" s="27" t="str">
        <f>LNOP!F111</f>
        <v>KA</v>
      </c>
      <c r="G24" s="55">
        <f>LNOP!G111</f>
        <v>0.3</v>
      </c>
      <c r="H24" s="56">
        <f>LNOP!H111</f>
        <v>0.6</v>
      </c>
      <c r="I24" s="27">
        <f>LNOP!I111</f>
        <v>82</v>
      </c>
      <c r="J24" s="27">
        <f>LNOP!J111</f>
        <v>80</v>
      </c>
      <c r="K24" s="41" t="str">
        <f>LNOP!K111</f>
        <v>bi</v>
      </c>
      <c r="L24" s="26">
        <f>LNOP!L111</f>
        <v>691.5</v>
      </c>
      <c r="M24" s="24" t="str">
        <f>LNOP!M111</f>
        <v>.16-04</v>
      </c>
      <c r="N24" s="26">
        <f>LNOP!N111</f>
        <v>1086.6666666666667</v>
      </c>
      <c r="O24" s="124" t="str">
        <f>LNOP!O111</f>
        <v>.11-10</v>
      </c>
      <c r="P24" s="26">
        <f>LNOP!P111</f>
        <v>962</v>
      </c>
      <c r="Q24" s="24" t="str">
        <f>LNOP!Q111</f>
        <v>.14-08</v>
      </c>
      <c r="R24" s="33" t="str">
        <f>LNOP!R111</f>
        <v>keh</v>
      </c>
      <c r="S24" s="26">
        <f>LNOP!S111</f>
        <v>1000</v>
      </c>
      <c r="T24" s="24" t="str">
        <f>LNOP!T111</f>
        <v>.10-05</v>
      </c>
      <c r="U24" s="33" t="str">
        <f>LNOP!U111</f>
        <v>b&amp;h</v>
      </c>
    </row>
    <row r="25" spans="1:21">
      <c r="A25" s="143" t="str">
        <f>CZ.V!A32</f>
        <v>Carl Zeiss</v>
      </c>
      <c r="B25" s="11" t="str">
        <f>CZ.V!B32</f>
        <v>F-Distagon 16/2.8 CY</v>
      </c>
      <c r="C25" s="16">
        <f>CZ.V!C32</f>
        <v>16</v>
      </c>
      <c r="D25" s="18">
        <f>CZ.V!D32</f>
        <v>2.8</v>
      </c>
      <c r="E25" s="31">
        <f>CZ.V!E32</f>
        <v>25.6</v>
      </c>
      <c r="F25" s="16" t="str">
        <f>CZ.V!F32</f>
        <v>CY</v>
      </c>
      <c r="G25" s="58">
        <f>CZ.V!G32</f>
        <v>0.3</v>
      </c>
      <c r="H25" s="53">
        <f>CZ.V!H32</f>
        <v>0.46</v>
      </c>
      <c r="I25" s="16">
        <f>CZ.V!I32</f>
        <v>61.5</v>
      </c>
      <c r="J25" s="16">
        <f>CZ.V!J32</f>
        <v>70</v>
      </c>
      <c r="K25" s="18" t="str">
        <f>CZ.V!K32</f>
        <v>bi</v>
      </c>
      <c r="L25" s="25">
        <f>CZ.V!L32</f>
        <v>619</v>
      </c>
      <c r="M25" s="36" t="str">
        <f>CZ.V!M32</f>
        <v>.16-01</v>
      </c>
      <c r="N25" s="25">
        <f>CZ.V!N32</f>
        <v>1251.4000000000001</v>
      </c>
      <c r="O25" s="73" t="str">
        <f>CZ.V!O32</f>
        <v>.15-12</v>
      </c>
      <c r="P25" s="25">
        <f>CZ.V!P32</f>
        <v>1300</v>
      </c>
      <c r="Q25" s="36" t="str">
        <f>CZ.V!Q32</f>
        <v>.16-05</v>
      </c>
      <c r="R25" s="31" t="str">
        <f>CZ.V!R32</f>
        <v>keh</v>
      </c>
      <c r="S25" s="25">
        <f>CZ.V!S32</f>
        <v>1550</v>
      </c>
      <c r="T25" s="36" t="str">
        <f>CZ.V!T32</f>
        <v>.15-01</v>
      </c>
      <c r="U25" s="31" t="str">
        <f>CZ.V!U32</f>
        <v>kevin</v>
      </c>
    </row>
    <row r="26" spans="1:21">
      <c r="A26" s="143" t="str">
        <f>LNOP!A9</f>
        <v>Leica</v>
      </c>
      <c r="B26" s="11" t="str">
        <f>LNOP!B9</f>
        <v>Fisheye-Elmarit-R</v>
      </c>
      <c r="C26" s="16">
        <f>LNOP!C9</f>
        <v>16</v>
      </c>
      <c r="D26" s="18">
        <f>LNOP!D9</f>
        <v>2.8</v>
      </c>
      <c r="E26" s="31">
        <f>LNOP!E9</f>
        <v>25.6</v>
      </c>
      <c r="F26" s="16" t="str">
        <f>LNOP!F9</f>
        <v>LR</v>
      </c>
      <c r="G26" s="58">
        <f>LNOP!G9</f>
        <v>0.3</v>
      </c>
      <c r="H26" s="53" t="str">
        <f>LNOP!H9</f>
        <v xml:space="preserve"> </v>
      </c>
      <c r="I26" s="16" t="str">
        <f>LNOP!I9</f>
        <v xml:space="preserve"> </v>
      </c>
      <c r="J26" s="16" t="str">
        <f>LNOP!J9</f>
        <v xml:space="preserve"> </v>
      </c>
      <c r="K26" s="18" t="str">
        <f>LNOP!K9</f>
        <v xml:space="preserve"> </v>
      </c>
      <c r="L26" s="25">
        <f>LNOP!L9</f>
        <v>611.70000000000005</v>
      </c>
      <c r="M26" s="36" t="str">
        <f>LNOP!M9</f>
        <v>.16-04</v>
      </c>
      <c r="N26" s="25">
        <f>LNOP!N9</f>
        <v>984.75</v>
      </c>
      <c r="O26" s="73" t="str">
        <f>LNOP!O9</f>
        <v>.16-01</v>
      </c>
      <c r="P26" s="25">
        <f>LNOP!P9</f>
        <v>825</v>
      </c>
      <c r="Q26" s="36" t="str">
        <f>LNOP!Q9</f>
        <v>.16-01</v>
      </c>
      <c r="R26" s="31" t="str">
        <f>LNOP!R9</f>
        <v>L-shop</v>
      </c>
      <c r="S26" s="25" t="str">
        <f>LNOP!S9</f>
        <v xml:space="preserve"> </v>
      </c>
      <c r="T26" s="36" t="str">
        <f>LNOP!T9</f>
        <v xml:space="preserve"> </v>
      </c>
      <c r="U26" s="31" t="str">
        <f>LNOP!U9</f>
        <v xml:space="preserve"> </v>
      </c>
    </row>
    <row r="27" spans="1:21">
      <c r="A27" s="143" t="str">
        <f>LNOP!A112</f>
        <v>Pentax</v>
      </c>
      <c r="B27" s="11" t="str">
        <f>LNOP!B112</f>
        <v>SMC Pentax-A 16/2.8 FE</v>
      </c>
      <c r="C27" s="16">
        <f>LNOP!C112</f>
        <v>16</v>
      </c>
      <c r="D27" s="18">
        <f>LNOP!D112</f>
        <v>2.8</v>
      </c>
      <c r="E27" s="31">
        <f>LNOP!E112</f>
        <v>25.6</v>
      </c>
      <c r="F27" s="16" t="str">
        <f>LNOP!F112</f>
        <v>KA</v>
      </c>
      <c r="G27" s="58">
        <f>LNOP!G112</f>
        <v>0.2</v>
      </c>
      <c r="H27" s="53">
        <f>LNOP!H112</f>
        <v>0.32</v>
      </c>
      <c r="I27" s="16">
        <f>LNOP!I112</f>
        <v>56</v>
      </c>
      <c r="J27" s="16">
        <f>LNOP!J112</f>
        <v>65</v>
      </c>
      <c r="K27" s="18" t="str">
        <f>LNOP!K112</f>
        <v>bi</v>
      </c>
      <c r="L27" s="25">
        <f>LNOP!L112</f>
        <v>357.5</v>
      </c>
      <c r="M27" s="36" t="str">
        <f>LNOP!M112</f>
        <v>.16-01</v>
      </c>
      <c r="N27" s="25">
        <f>LNOP!N112</f>
        <v>594.33333333333337</v>
      </c>
      <c r="O27" s="73" t="str">
        <f>LNOP!O112</f>
        <v>.15-04</v>
      </c>
      <c r="P27" s="25">
        <f>LNOP!P112</f>
        <v>560</v>
      </c>
      <c r="Q27" s="36" t="str">
        <f>LNOP!Q112</f>
        <v>.15-04</v>
      </c>
      <c r="R27" s="31" t="str">
        <f>LNOP!R112</f>
        <v>ado</v>
      </c>
      <c r="S27" s="25" t="str">
        <f>LNOP!S112</f>
        <v xml:space="preserve"> </v>
      </c>
      <c r="T27" s="36" t="str">
        <f>LNOP!T112</f>
        <v xml:space="preserve"> </v>
      </c>
      <c r="U27" s="31" t="str">
        <f>LNOP!U112</f>
        <v xml:space="preserve"> </v>
      </c>
    </row>
    <row r="28" spans="1:21">
      <c r="A28" s="143" t="str">
        <f>LNOP!A160</f>
        <v>Fuji Photo</v>
      </c>
      <c r="B28" s="11" t="str">
        <f>LNOP!B160</f>
        <v>EBC Fujinon-Fisheye 16/2.8</v>
      </c>
      <c r="C28" s="16">
        <f>LNOP!C160</f>
        <v>16</v>
      </c>
      <c r="D28" s="18">
        <f>LNOP!D160</f>
        <v>2.8</v>
      </c>
      <c r="E28" s="31">
        <f>LNOP!E160</f>
        <v>25.6</v>
      </c>
      <c r="F28" s="16" t="str">
        <f>LNOP!F160</f>
        <v>M42</v>
      </c>
      <c r="G28" s="58">
        <f>LNOP!G160</f>
        <v>0.25</v>
      </c>
      <c r="H28" s="53">
        <f>LNOP!H160</f>
        <v>0.42499999999999999</v>
      </c>
      <c r="I28" s="16" t="str">
        <f>LNOP!I160</f>
        <v xml:space="preserve"> </v>
      </c>
      <c r="J28" s="16" t="str">
        <f>LNOP!J160</f>
        <v xml:space="preserve"> </v>
      </c>
      <c r="K28" s="18" t="str">
        <f>LNOP!K160</f>
        <v>b.i.</v>
      </c>
      <c r="L28" s="25">
        <f>LNOP!L160</f>
        <v>187.5</v>
      </c>
      <c r="M28" s="36" t="str">
        <f>LNOP!M160</f>
        <v>.15-08</v>
      </c>
      <c r="N28" s="25">
        <f>LNOP!N160</f>
        <v>370</v>
      </c>
      <c r="O28" s="73" t="str">
        <f>LNOP!O160</f>
        <v>.15-12</v>
      </c>
      <c r="P28" s="25" t="str">
        <f>LNOP!P160</f>
        <v xml:space="preserve"> </v>
      </c>
      <c r="Q28" s="36" t="str">
        <f>LNOP!Q160</f>
        <v xml:space="preserve"> </v>
      </c>
      <c r="R28" s="31" t="str">
        <f>LNOP!R160</f>
        <v xml:space="preserve"> </v>
      </c>
      <c r="S28" s="25" t="str">
        <f>LNOP!S160</f>
        <v xml:space="preserve"> </v>
      </c>
      <c r="T28" s="36" t="str">
        <f>LNOP!T160</f>
        <v xml:space="preserve"> </v>
      </c>
      <c r="U28" s="31" t="str">
        <f>LNOP!U160</f>
        <v xml:space="preserve"> </v>
      </c>
    </row>
    <row r="29" spans="1:21">
      <c r="A29" s="144" t="str">
        <f>LNOP!A186</f>
        <v>Zenitar</v>
      </c>
      <c r="B29" s="22" t="str">
        <f>LNOP!B186</f>
        <v>Zenit 16/2.8 FE (180/44)</v>
      </c>
      <c r="C29" s="27">
        <f>LNOP!C186</f>
        <v>16</v>
      </c>
      <c r="D29" s="41">
        <f>LNOP!D186</f>
        <v>2.8</v>
      </c>
      <c r="E29" s="33">
        <f>LNOP!E186</f>
        <v>25.6</v>
      </c>
      <c r="F29" s="27" t="str">
        <f>LNOP!F186</f>
        <v>x</v>
      </c>
      <c r="G29" s="55">
        <f>LNOP!G186</f>
        <v>0.3</v>
      </c>
      <c r="H29" s="56">
        <f>LNOP!H186</f>
        <v>0.31</v>
      </c>
      <c r="I29" s="27">
        <f>LNOP!I186</f>
        <v>49</v>
      </c>
      <c r="J29" s="27">
        <f>LNOP!J186</f>
        <v>63</v>
      </c>
      <c r="K29" s="41" t="str">
        <f>LNOP!K186</f>
        <v>rf</v>
      </c>
      <c r="L29" s="26">
        <f>LNOP!L186</f>
        <v>114.85714285714286</v>
      </c>
      <c r="M29" s="24" t="str">
        <f>LNOP!M186</f>
        <v>.16-01</v>
      </c>
      <c r="N29" s="26">
        <f>LNOP!N186</f>
        <v>167.875</v>
      </c>
      <c r="O29" s="124" t="str">
        <f>LNOP!O186</f>
        <v>.16-03</v>
      </c>
      <c r="P29" s="26">
        <f>LNOP!P186</f>
        <v>165</v>
      </c>
      <c r="Q29" s="24" t="str">
        <f>LNOP!Q186</f>
        <v>.13-01</v>
      </c>
      <c r="R29" s="33" t="str">
        <f>LNOP!R186</f>
        <v>keh</v>
      </c>
      <c r="S29" s="26">
        <f>LNOP!S186</f>
        <v>175</v>
      </c>
      <c r="T29" s="24" t="str">
        <f>LNOP!T186</f>
        <v>.15-04</v>
      </c>
      <c r="U29" s="33" t="str">
        <f>LNOP!U186</f>
        <v>keh</v>
      </c>
    </row>
    <row r="30" spans="1:21">
      <c r="A30" s="143" t="str">
        <f>STT!A48</f>
        <v>Tamron</v>
      </c>
      <c r="B30" s="11" t="str">
        <f>STT!B48</f>
        <v>SP 17/3.5 [51B] (bi filters)</v>
      </c>
      <c r="C30" s="16">
        <f>STT!C48</f>
        <v>17</v>
      </c>
      <c r="D30" s="18">
        <f>STT!D48</f>
        <v>3.5</v>
      </c>
      <c r="E30" s="31">
        <f>STT!E48</f>
        <v>27.200000000000003</v>
      </c>
      <c r="F30" s="16" t="str">
        <f>STT!F48</f>
        <v>A2</v>
      </c>
      <c r="G30" s="58">
        <f>STT!G48</f>
        <v>0.25</v>
      </c>
      <c r="H30" s="53">
        <f>STT!H48</f>
        <v>0.27</v>
      </c>
      <c r="I30" s="16">
        <f>STT!I48</f>
        <v>45</v>
      </c>
      <c r="J30" s="16">
        <f>STT!J48</f>
        <v>70</v>
      </c>
      <c r="K30" s="18" t="str">
        <f>STT!K48</f>
        <v>82*</v>
      </c>
      <c r="L30" s="25">
        <f>STT!L48</f>
        <v>158.72727272727272</v>
      </c>
      <c r="M30" s="36" t="str">
        <f>STT!M48</f>
        <v>.16-01</v>
      </c>
      <c r="N30" s="25">
        <f>STT!N48</f>
        <v>212.28571428571428</v>
      </c>
      <c r="O30" s="73" t="str">
        <f>STT!O48</f>
        <v>.16-04</v>
      </c>
      <c r="P30" s="25">
        <f>STT!P48</f>
        <v>225</v>
      </c>
      <c r="Q30" s="36" t="str">
        <f>STT!Q48</f>
        <v>.14-03</v>
      </c>
      <c r="R30" s="31" t="str">
        <f>STT!R48</f>
        <v>keh</v>
      </c>
      <c r="S30" s="25">
        <f>STT!S48</f>
        <v>250</v>
      </c>
      <c r="T30" s="36" t="str">
        <f>STT!T48</f>
        <v>.10-09</v>
      </c>
      <c r="U30" s="31" t="str">
        <f>STT!U48</f>
        <v>b&amp;h</v>
      </c>
    </row>
    <row r="31" spans="1:21">
      <c r="A31" s="143" t="str">
        <f>STT!A49</f>
        <v>Tamron</v>
      </c>
      <c r="B31" s="11" t="str">
        <f>STT!B49</f>
        <v>SP 17/35 [151B]</v>
      </c>
      <c r="C31" s="16">
        <f>STT!C49</f>
        <v>17</v>
      </c>
      <c r="D31" s="18">
        <f>STT!D49</f>
        <v>3.5</v>
      </c>
      <c r="E31" s="31">
        <f>STT!E49</f>
        <v>27.200000000000003</v>
      </c>
      <c r="F31" s="16" t="str">
        <f>STT!F49</f>
        <v>A2</v>
      </c>
      <c r="G31" s="58">
        <f>STT!G49</f>
        <v>0.25</v>
      </c>
      <c r="H31" s="53">
        <f>STT!H49</f>
        <v>0.27</v>
      </c>
      <c r="I31" s="16">
        <f>STT!I49</f>
        <v>48</v>
      </c>
      <c r="J31" s="16">
        <f>STT!J49</f>
        <v>71</v>
      </c>
      <c r="K31" s="18" t="str">
        <f>STT!K49</f>
        <v>82*</v>
      </c>
      <c r="L31" s="25">
        <f>STT!L49</f>
        <v>181.72727272727272</v>
      </c>
      <c r="M31" s="36" t="str">
        <f>STT!M49</f>
        <v>.16-03</v>
      </c>
      <c r="N31" s="25">
        <f>STT!N49</f>
        <v>256</v>
      </c>
      <c r="O31" s="73" t="str">
        <f>STT!O49</f>
        <v>.16-05</v>
      </c>
      <c r="P31" s="25">
        <f>STT!P49</f>
        <v>204.44</v>
      </c>
      <c r="Q31" s="36" t="str">
        <f>STT!Q49</f>
        <v>.16-02</v>
      </c>
      <c r="R31" s="31" t="str">
        <f>STT!R49</f>
        <v>ctc</v>
      </c>
      <c r="S31" s="25">
        <f>STT!S49</f>
        <v>265</v>
      </c>
      <c r="T31" s="36" t="str">
        <f>STT!T49</f>
        <v>.11-11</v>
      </c>
      <c r="U31" s="31" t="str">
        <f>STT!U49</f>
        <v>keh</v>
      </c>
    </row>
    <row r="32" spans="1:21">
      <c r="A32" s="143" t="str">
        <f>STT!A87</f>
        <v>Tokina</v>
      </c>
      <c r="B32" s="11" t="str">
        <f>STT!B87</f>
        <v>RMC 17/3.5 SL</v>
      </c>
      <c r="C32" s="16">
        <f>STT!C87</f>
        <v>17</v>
      </c>
      <c r="D32" s="18">
        <f>STT!D87</f>
        <v>3.5</v>
      </c>
      <c r="E32" s="31">
        <f>STT!E87</f>
        <v>27.200000000000003</v>
      </c>
      <c r="F32" s="16" t="str">
        <f>STT!F87</f>
        <v>x</v>
      </c>
      <c r="G32" s="58">
        <f>STT!G87</f>
        <v>0.25</v>
      </c>
      <c r="H32" s="53">
        <f>STT!H87</f>
        <v>0.28999999999999998</v>
      </c>
      <c r="I32" s="16">
        <f>STT!I87</f>
        <v>52</v>
      </c>
      <c r="J32" s="16">
        <f>STT!J87</f>
        <v>70</v>
      </c>
      <c r="K32" s="18">
        <f>STT!K87</f>
        <v>67</v>
      </c>
      <c r="L32" s="25">
        <f>STT!L87</f>
        <v>156.75</v>
      </c>
      <c r="M32" s="36" t="str">
        <f>STT!M87</f>
        <v>.16-03</v>
      </c>
      <c r="N32" s="25">
        <f>STT!N87</f>
        <v>231.11111111111111</v>
      </c>
      <c r="O32" s="73" t="str">
        <f>STT!O87</f>
        <v>.16-05</v>
      </c>
      <c r="P32" s="25">
        <f>STT!P87</f>
        <v>219.64000000000001</v>
      </c>
      <c r="Q32" s="36" t="str">
        <f>STT!Q87</f>
        <v>.15-11</v>
      </c>
      <c r="R32" s="31" t="str">
        <f>STT!R87</f>
        <v>ctc</v>
      </c>
      <c r="S32" s="25" t="str">
        <f>STT!S87</f>
        <v xml:space="preserve"> </v>
      </c>
      <c r="T32" s="36" t="str">
        <f>STT!T87</f>
        <v xml:space="preserve"> </v>
      </c>
      <c r="U32" s="31" t="str">
        <f>STT!U87</f>
        <v xml:space="preserve"> </v>
      </c>
    </row>
    <row r="33" spans="1:21">
      <c r="A33" s="143" t="str">
        <f>STT!A88</f>
        <v>Tokina</v>
      </c>
      <c r="B33" s="11" t="str">
        <f>STT!B88</f>
        <v>AT-X 17/3.5 AF Pro</v>
      </c>
      <c r="C33" s="16">
        <f>STT!C88</f>
        <v>17</v>
      </c>
      <c r="D33" s="18">
        <f>STT!D88</f>
        <v>3.5</v>
      </c>
      <c r="E33" s="31">
        <f>STT!E88</f>
        <v>27.200000000000003</v>
      </c>
      <c r="F33" s="16" t="str">
        <f>STT!F88</f>
        <v>EF</v>
      </c>
      <c r="G33" s="58">
        <f>STT!G88</f>
        <v>0.25</v>
      </c>
      <c r="H33" s="53">
        <f>STT!H88</f>
        <v>0.44</v>
      </c>
      <c r="I33" s="16">
        <f>STT!I88</f>
        <v>65</v>
      </c>
      <c r="J33" s="16">
        <f>STT!J88</f>
        <v>88</v>
      </c>
      <c r="K33" s="18">
        <f>STT!K88</f>
        <v>77</v>
      </c>
      <c r="L33" s="25">
        <f>STT!L88</f>
        <v>263.875</v>
      </c>
      <c r="M33" s="36" t="str">
        <f>STT!M88</f>
        <v>.15-11</v>
      </c>
      <c r="N33" s="25">
        <f>STT!N88</f>
        <v>358</v>
      </c>
      <c r="O33" s="73" t="str">
        <f>STT!O88</f>
        <v>.16-05</v>
      </c>
      <c r="P33" s="25">
        <f>STT!P88</f>
        <v>300</v>
      </c>
      <c r="Q33" s="36" t="str">
        <f>STT!Q88</f>
        <v>.16-01</v>
      </c>
      <c r="R33" s="31" t="str">
        <f>STT!R88</f>
        <v>keh</v>
      </c>
      <c r="S33" s="25">
        <f>STT!S88</f>
        <v>380</v>
      </c>
      <c r="T33" s="36" t="str">
        <f>STT!T88</f>
        <v>.08-05</v>
      </c>
      <c r="U33" s="31" t="str">
        <f>STT!U88</f>
        <v>keh</v>
      </c>
    </row>
    <row r="34" spans="1:21">
      <c r="A34" s="143" t="str">
        <f>EFp!A9</f>
        <v>Canon</v>
      </c>
      <c r="B34" s="11" t="str">
        <f>EFp!B9</f>
        <v xml:space="preserve">TS-E 17/4 L </v>
      </c>
      <c r="C34" s="16">
        <f>EFp!C9</f>
        <v>17</v>
      </c>
      <c r="D34" s="18">
        <f>EFp!D9</f>
        <v>4</v>
      </c>
      <c r="E34" s="31">
        <f>EFp!E9</f>
        <v>27.200000000000003</v>
      </c>
      <c r="F34" s="16" t="str">
        <f>EFp!F9</f>
        <v>EFm</v>
      </c>
      <c r="G34" s="58">
        <f>EFp!G9</f>
        <v>0.25</v>
      </c>
      <c r="H34" s="53">
        <f>EFp!H9</f>
        <v>0.82</v>
      </c>
      <c r="I34" s="16">
        <f>EFp!I9</f>
        <v>106.7</v>
      </c>
      <c r="J34" s="16">
        <f>EFp!J9</f>
        <v>88.9</v>
      </c>
      <c r="K34" s="18" t="str">
        <f>EFp!K9</f>
        <v>x</v>
      </c>
      <c r="L34" s="25">
        <f>EFp!L9</f>
        <v>1569.3</v>
      </c>
      <c r="M34" s="36" t="str">
        <f>EFp!M9</f>
        <v>.16-05</v>
      </c>
      <c r="N34" s="25">
        <f>EFp!N9</f>
        <v>1821.8333333333333</v>
      </c>
      <c r="O34" s="73" t="str">
        <f>EFp!O9</f>
        <v>.16-05</v>
      </c>
      <c r="P34" s="25">
        <f>EFp!P9</f>
        <v>1520</v>
      </c>
      <c r="Q34" s="36" t="str">
        <f>EFp!Q9</f>
        <v>.15-11</v>
      </c>
      <c r="R34" s="31" t="str">
        <f>EFp!R9</f>
        <v>henrys</v>
      </c>
      <c r="S34" s="25">
        <f>EFp!S9</f>
        <v>1900</v>
      </c>
      <c r="T34" s="36" t="str">
        <f>EFp!T9</f>
        <v>.16-01</v>
      </c>
      <c r="U34" s="31" t="str">
        <f>EFp!U9</f>
        <v>b&amp;h</v>
      </c>
    </row>
    <row r="35" spans="1:21">
      <c r="A35" s="143" t="str">
        <f>LNOP!A99</f>
        <v>Pentax</v>
      </c>
      <c r="B35" s="11" t="str">
        <f>LNOP!B99</f>
        <v>Fish-eye-Takumar FE 17/4</v>
      </c>
      <c r="C35" s="16">
        <f>LNOP!C99</f>
        <v>17</v>
      </c>
      <c r="D35" s="18">
        <f>LNOP!D99</f>
        <v>4</v>
      </c>
      <c r="E35" s="31">
        <f>LNOP!E99</f>
        <v>27.2</v>
      </c>
      <c r="F35" s="16" t="str">
        <f>LNOP!F99</f>
        <v>M42</v>
      </c>
      <c r="G35" s="58">
        <f>LNOP!G99</f>
        <v>0.2</v>
      </c>
      <c r="H35" s="53">
        <f>LNOP!H99</f>
        <v>0.22800000000000001</v>
      </c>
      <c r="I35" s="16">
        <f>LNOP!I99</f>
        <v>32</v>
      </c>
      <c r="J35" s="16">
        <f>LNOP!J99</f>
        <v>67</v>
      </c>
      <c r="K35" s="18" t="str">
        <f>LNOP!K99</f>
        <v>bi</v>
      </c>
      <c r="L35" s="25">
        <f>LNOP!L99</f>
        <v>215.81818181818181</v>
      </c>
      <c r="M35" s="36" t="str">
        <f>LNOP!M99</f>
        <v>.16-01</v>
      </c>
      <c r="N35" s="25">
        <f>LNOP!N99</f>
        <v>269.875</v>
      </c>
      <c r="O35" s="73" t="str">
        <f>LNOP!O99</f>
        <v>.16-01</v>
      </c>
      <c r="P35" s="25">
        <f>LNOP!P99</f>
        <v>300</v>
      </c>
      <c r="Q35" s="36" t="str">
        <f>LNOP!Q99</f>
        <v>.15-04</v>
      </c>
      <c r="R35" s="31" t="str">
        <f>LNOP!R99</f>
        <v>b&amp;h</v>
      </c>
      <c r="S35" s="25" t="str">
        <f>LNOP!S99</f>
        <v xml:space="preserve"> </v>
      </c>
      <c r="T35" s="36" t="str">
        <f>LNOP!T99</f>
        <v xml:space="preserve"> </v>
      </c>
      <c r="U35" s="31" t="str">
        <f>LNOP!U99</f>
        <v xml:space="preserve"> </v>
      </c>
    </row>
    <row r="36" spans="1:21">
      <c r="A36" s="143" t="str">
        <f>LNOP!A100</f>
        <v>Pentax</v>
      </c>
      <c r="B36" s="11" t="str">
        <f>LNOP!B100</f>
        <v>SMC Takumar FE 17/4</v>
      </c>
      <c r="C36" s="16">
        <f>LNOP!C100</f>
        <v>17</v>
      </c>
      <c r="D36" s="18">
        <f>LNOP!D100</f>
        <v>4</v>
      </c>
      <c r="E36" s="31">
        <f>LNOP!E100</f>
        <v>27.2</v>
      </c>
      <c r="F36" s="16" t="str">
        <f>LNOP!F100</f>
        <v>M42</v>
      </c>
      <c r="G36" s="58">
        <f>LNOP!G100</f>
        <v>0.2</v>
      </c>
      <c r="H36" s="53">
        <f>LNOP!H100</f>
        <v>0.22800000000000001</v>
      </c>
      <c r="I36" s="16">
        <f>LNOP!I100</f>
        <v>32</v>
      </c>
      <c r="J36" s="16">
        <f>LNOP!J100</f>
        <v>67</v>
      </c>
      <c r="K36" s="18" t="str">
        <f>LNOP!K100</f>
        <v>bi</v>
      </c>
      <c r="L36" s="25">
        <f>LNOP!L100</f>
        <v>239.55555555555554</v>
      </c>
      <c r="M36" s="36" t="str">
        <f>LNOP!M100</f>
        <v>.16-01</v>
      </c>
      <c r="N36" s="25">
        <f>LNOP!N100</f>
        <v>360.375</v>
      </c>
      <c r="O36" s="73" t="str">
        <f>LNOP!O100</f>
        <v>.16-05</v>
      </c>
      <c r="P36" s="25">
        <f>LNOP!P100</f>
        <v>250</v>
      </c>
      <c r="Q36" s="36" t="str">
        <f>LNOP!Q100</f>
        <v>.14-06</v>
      </c>
      <c r="R36" s="31" t="str">
        <f>LNOP!R100</f>
        <v>igor</v>
      </c>
      <c r="S36" s="25" t="str">
        <f>LNOP!S100</f>
        <v xml:space="preserve"> </v>
      </c>
      <c r="T36" s="36" t="str">
        <f>LNOP!T100</f>
        <v xml:space="preserve"> </v>
      </c>
      <c r="U36" s="31" t="str">
        <f>LNOP!U100</f>
        <v xml:space="preserve"> </v>
      </c>
    </row>
    <row r="37" spans="1:21">
      <c r="A37" s="144" t="str">
        <f>LNOP!A113</f>
        <v>Pentax</v>
      </c>
      <c r="B37" s="22" t="str">
        <f>LNOP!B113</f>
        <v xml:space="preserve">SMC Pentax 17/4 FE </v>
      </c>
      <c r="C37" s="27">
        <f>LNOP!C113</f>
        <v>17</v>
      </c>
      <c r="D37" s="41">
        <f>LNOP!D113</f>
        <v>4</v>
      </c>
      <c r="E37" s="33">
        <f>LNOP!E113</f>
        <v>27.2</v>
      </c>
      <c r="F37" s="27" t="str">
        <f>LNOP!F113</f>
        <v>K</v>
      </c>
      <c r="G37" s="55">
        <f>LNOP!G113</f>
        <v>0.2</v>
      </c>
      <c r="H37" s="56">
        <f>LNOP!H113</f>
        <v>0.23499999999999999</v>
      </c>
      <c r="I37" s="27">
        <f>LNOP!I113</f>
        <v>34</v>
      </c>
      <c r="J37" s="27">
        <f>LNOP!J113</f>
        <v>65</v>
      </c>
      <c r="K37" s="41" t="str">
        <f>LNOP!K113</f>
        <v>bi</v>
      </c>
      <c r="L37" s="26">
        <f>LNOP!L113</f>
        <v>272.66666666666669</v>
      </c>
      <c r="M37" s="24" t="str">
        <f>LNOP!M113</f>
        <v>.16-05</v>
      </c>
      <c r="N37" s="26">
        <f>LNOP!N113</f>
        <v>421</v>
      </c>
      <c r="O37" s="124" t="str">
        <f>LNOP!O113</f>
        <v>.16-04</v>
      </c>
      <c r="P37" s="26">
        <f>LNOP!P113</f>
        <v>380</v>
      </c>
      <c r="Q37" s="24" t="str">
        <f>LNOP!Q113</f>
        <v>.13-07</v>
      </c>
      <c r="R37" s="33" t="str">
        <f>LNOP!R113</f>
        <v>keh</v>
      </c>
      <c r="S37" s="26">
        <f>LNOP!S113</f>
        <v>500</v>
      </c>
      <c r="T37" s="24" t="str">
        <f>LNOP!T113</f>
        <v>.12-02</v>
      </c>
      <c r="U37" s="33" t="str">
        <f>LNOP!U113</f>
        <v>kevin</v>
      </c>
    </row>
    <row r="38" spans="1:21">
      <c r="A38" s="143" t="str">
        <f>CZ.V!A19</f>
        <v>Carl Zeiss</v>
      </c>
      <c r="B38" s="11" t="str">
        <f>CZ.V!B19</f>
        <v>Distagon T* 18/3.5 ZE</v>
      </c>
      <c r="C38" s="16">
        <f>CZ.V!C19</f>
        <v>18</v>
      </c>
      <c r="D38" s="18">
        <f>CZ.V!D19</f>
        <v>3.5</v>
      </c>
      <c r="E38" s="31">
        <f>CZ.V!E19</f>
        <v>28.8</v>
      </c>
      <c r="F38" s="16" t="str">
        <f>CZ.V!F19</f>
        <v>ZE</v>
      </c>
      <c r="G38" s="58">
        <f>CZ.V!G19</f>
        <v>0.3</v>
      </c>
      <c r="H38" s="53">
        <f>CZ.V!H19</f>
        <v>0.51</v>
      </c>
      <c r="I38" s="16">
        <f>CZ.V!I19</f>
        <v>61</v>
      </c>
      <c r="J38" s="16">
        <f>CZ.V!J19</f>
        <v>87</v>
      </c>
      <c r="K38" s="18">
        <f>CZ.V!K19</f>
        <v>82</v>
      </c>
      <c r="L38" s="25">
        <f>CZ.V!L19</f>
        <v>794.36363636363637</v>
      </c>
      <c r="M38" s="36" t="str">
        <f>CZ.V!M19</f>
        <v>.16-05</v>
      </c>
      <c r="N38" s="25">
        <f>CZ.V!N19</f>
        <v>1074.8181818181818</v>
      </c>
      <c r="O38" s="73" t="str">
        <f>CZ.V!O19</f>
        <v>.16-01</v>
      </c>
      <c r="P38" s="25">
        <f>CZ.V!P19</f>
        <v>790</v>
      </c>
      <c r="Q38" s="36" t="str">
        <f>CZ.V!Q19</f>
        <v>.16-03</v>
      </c>
      <c r="R38" s="31" t="str">
        <f>CZ.V!R19</f>
        <v>LA</v>
      </c>
      <c r="S38" s="25">
        <f>CZ.V!S19</f>
        <v>1000</v>
      </c>
      <c r="T38" s="36" t="str">
        <f>CZ.V!T19</f>
        <v>.16-01</v>
      </c>
      <c r="U38" s="31" t="str">
        <f>CZ.V!U19</f>
        <v>b&amp;h</v>
      </c>
    </row>
    <row r="39" spans="1:21">
      <c r="A39" s="143" t="str">
        <f>LNOP!A44</f>
        <v>Nikon</v>
      </c>
      <c r="B39" s="11" t="str">
        <f>LNOP!B44</f>
        <v>Nikkor 18/3.5</v>
      </c>
      <c r="C39" s="16">
        <f>LNOP!C44</f>
        <v>18</v>
      </c>
      <c r="D39" s="18">
        <f>LNOP!D44</f>
        <v>3.5</v>
      </c>
      <c r="E39" s="31">
        <f>LNOP!E44</f>
        <v>28.8</v>
      </c>
      <c r="F39" s="16" t="str">
        <f>LNOP!F44</f>
        <v>AIS</v>
      </c>
      <c r="G39" s="58">
        <f>LNOP!G44</f>
        <v>0.25</v>
      </c>
      <c r="H39" s="53">
        <f>LNOP!H44</f>
        <v>0.35</v>
      </c>
      <c r="I39" s="16">
        <f>LNOP!I44</f>
        <v>61.5</v>
      </c>
      <c r="J39" s="16">
        <f>LNOP!J44</f>
        <v>75</v>
      </c>
      <c r="K39" s="18">
        <f>LNOP!K44</f>
        <v>72</v>
      </c>
      <c r="L39" s="25">
        <f>LNOP!L44</f>
        <v>374.75</v>
      </c>
      <c r="M39" s="36" t="str">
        <f>LNOP!M44</f>
        <v>.16-05</v>
      </c>
      <c r="N39" s="25">
        <f>LNOP!N44</f>
        <v>509.6</v>
      </c>
      <c r="O39" s="73" t="str">
        <f>LNOP!O44</f>
        <v>.16-03</v>
      </c>
      <c r="P39" s="25">
        <f>LNOP!P44</f>
        <v>546</v>
      </c>
      <c r="Q39" s="36" t="str">
        <f>LNOP!Q44</f>
        <v>.13-07</v>
      </c>
      <c r="R39" s="31" t="str">
        <f>LNOP!R44</f>
        <v>keh</v>
      </c>
      <c r="S39" s="25">
        <f>LNOP!S44</f>
        <v>700</v>
      </c>
      <c r="T39" s="36" t="str">
        <f>LNOP!T44</f>
        <v>.12-02</v>
      </c>
      <c r="U39" s="31" t="str">
        <f>LNOP!U44</f>
        <v>b&amp;h</v>
      </c>
    </row>
    <row r="40" spans="1:21">
      <c r="A40" s="143" t="str">
        <f>LNOP!A71</f>
        <v>Olympus</v>
      </c>
      <c r="B40" s="11" t="str">
        <f>LNOP!B71</f>
        <v>Zuiko 18/3.5 MC Auto-W</v>
      </c>
      <c r="C40" s="16">
        <f>LNOP!C71</f>
        <v>18</v>
      </c>
      <c r="D40" s="18">
        <f>LNOP!D71</f>
        <v>3.5</v>
      </c>
      <c r="E40" s="31">
        <f>LNOP!E71</f>
        <v>28.8</v>
      </c>
      <c r="F40" s="16" t="str">
        <f>LNOP!F71</f>
        <v>OM</v>
      </c>
      <c r="G40" s="58">
        <f>LNOP!G71</f>
        <v>0.25</v>
      </c>
      <c r="H40" s="53">
        <f>LNOP!H71</f>
        <v>0.25</v>
      </c>
      <c r="I40" s="16">
        <f>LNOP!I71</f>
        <v>42</v>
      </c>
      <c r="J40" s="16">
        <f>LNOP!J71</f>
        <v>62</v>
      </c>
      <c r="K40" s="18" t="str">
        <f>LNOP!K71</f>
        <v>49&gt;72</v>
      </c>
      <c r="L40" s="25">
        <f>LNOP!L71</f>
        <v>664.7</v>
      </c>
      <c r="M40" s="36" t="str">
        <f>LNOP!M71</f>
        <v>.16-05</v>
      </c>
      <c r="N40" s="25">
        <f>LNOP!N71</f>
        <v>924</v>
      </c>
      <c r="O40" s="73" t="str">
        <f>LNOP!O71</f>
        <v>.16-01</v>
      </c>
      <c r="P40" s="25">
        <f>LNOP!P71</f>
        <v>700</v>
      </c>
      <c r="Q40" s="36" t="str">
        <f>LNOP!Q71</f>
        <v>.16-01</v>
      </c>
      <c r="R40" s="31" t="str">
        <f>LNOP!R71</f>
        <v>keh</v>
      </c>
      <c r="S40" s="25">
        <f>LNOP!S71</f>
        <v>1300</v>
      </c>
      <c r="T40" s="36" t="str">
        <f>LNOP!T71</f>
        <v>.14-08</v>
      </c>
      <c r="U40" s="31" t="str">
        <f>LNOP!U71</f>
        <v>kevin</v>
      </c>
    </row>
    <row r="41" spans="1:21">
      <c r="A41" s="143" t="str">
        <f>LNOP!A114</f>
        <v>Pentax</v>
      </c>
      <c r="B41" s="11" t="str">
        <f>LNOP!B114</f>
        <v>SMC Pentax 18/3.5</v>
      </c>
      <c r="C41" s="16">
        <f>LNOP!C114</f>
        <v>18</v>
      </c>
      <c r="D41" s="18">
        <f>LNOP!D114</f>
        <v>3.5</v>
      </c>
      <c r="E41" s="31">
        <f>LNOP!E114</f>
        <v>28.8</v>
      </c>
      <c r="F41" s="16" t="str">
        <f>LNOP!F114</f>
        <v>K</v>
      </c>
      <c r="G41" s="58">
        <f>LNOP!G114</f>
        <v>0.25</v>
      </c>
      <c r="H41" s="53">
        <f>LNOP!H114</f>
        <v>0.29499999999999998</v>
      </c>
      <c r="I41" s="16">
        <f>LNOP!I114</f>
        <v>62</v>
      </c>
      <c r="J41" s="16">
        <f>LNOP!J114</f>
        <v>63</v>
      </c>
      <c r="K41" s="18">
        <f>LNOP!K114</f>
        <v>58</v>
      </c>
      <c r="L41" s="25">
        <f>LNOP!L114</f>
        <v>451.4</v>
      </c>
      <c r="M41" s="36" t="str">
        <f>LNOP!M114</f>
        <v>.16-05</v>
      </c>
      <c r="N41" s="25">
        <f>LNOP!N114</f>
        <v>759</v>
      </c>
      <c r="O41" s="73" t="str">
        <f>LNOP!O114</f>
        <v>.15-12</v>
      </c>
      <c r="P41" s="25">
        <f>LNOP!P114</f>
        <v>480</v>
      </c>
      <c r="Q41" s="36" t="str">
        <f>LNOP!Q114</f>
        <v>.15-04</v>
      </c>
      <c r="R41" s="31" t="str">
        <f>LNOP!R114</f>
        <v>ado</v>
      </c>
      <c r="S41" s="25">
        <f>LNOP!S114</f>
        <v>950</v>
      </c>
      <c r="T41" s="36" t="str">
        <f>LNOP!T114</f>
        <v>.13-04</v>
      </c>
      <c r="U41" s="31" t="str">
        <f>LNOP!U114</f>
        <v>kevin</v>
      </c>
    </row>
    <row r="42" spans="1:21">
      <c r="A42" s="144" t="str">
        <f>CZ.V!A33</f>
        <v>Carl Zeiss</v>
      </c>
      <c r="B42" s="22" t="str">
        <f>CZ.V!B33</f>
        <v>Distagon T* 18/4 CY [x]</v>
      </c>
      <c r="C42" s="27">
        <f>CZ.V!C33</f>
        <v>18</v>
      </c>
      <c r="D42" s="41">
        <f>CZ.V!D33</f>
        <v>4</v>
      </c>
      <c r="E42" s="33">
        <f>CZ.V!E33</f>
        <v>28.8</v>
      </c>
      <c r="F42" s="27" t="str">
        <f>CZ.V!F33</f>
        <v>CY</v>
      </c>
      <c r="G42" s="55">
        <f>CZ.V!G33</f>
        <v>0.3</v>
      </c>
      <c r="H42" s="56">
        <f>CZ.V!H33</f>
        <v>0.35</v>
      </c>
      <c r="I42" s="27">
        <f>CZ.V!I33</f>
        <v>51.5</v>
      </c>
      <c r="J42" s="27">
        <f>CZ.V!J33</f>
        <v>70</v>
      </c>
      <c r="K42" s="41" t="str">
        <f>CZ.V!K33</f>
        <v>co</v>
      </c>
      <c r="L42" s="26">
        <f>CZ.V!L33</f>
        <v>549.27272727272725</v>
      </c>
      <c r="M42" s="24" t="str">
        <f>CZ.V!M33</f>
        <v>.16-05</v>
      </c>
      <c r="N42" s="26">
        <f>CZ.V!N33</f>
        <v>651.55555555555554</v>
      </c>
      <c r="O42" s="124" t="str">
        <f>CZ.V!O33</f>
        <v>.16-05</v>
      </c>
      <c r="P42" s="26">
        <f>CZ.V!P33</f>
        <v>800</v>
      </c>
      <c r="Q42" s="24" t="str">
        <f>CZ.V!Q33</f>
        <v>.15-03</v>
      </c>
      <c r="R42" s="33" t="str">
        <f>CZ.V!R33</f>
        <v>b&amp;h</v>
      </c>
      <c r="S42" s="26">
        <f>CZ.V!S33</f>
        <v>1745</v>
      </c>
      <c r="T42" s="24" t="str">
        <f>CZ.V!T33</f>
        <v>.16-01</v>
      </c>
      <c r="U42" s="33" t="str">
        <f>CZ.V!U33</f>
        <v>igor</v>
      </c>
    </row>
    <row r="43" spans="1:21">
      <c r="A43" s="143" t="str">
        <f>LNOP!A10</f>
        <v>Leica</v>
      </c>
      <c r="B43" s="11" t="str">
        <f>LNOP!B10</f>
        <v>Elmarit R Super-W 19/2.8 [x]</v>
      </c>
      <c r="C43" s="16">
        <f>LNOP!C10</f>
        <v>19</v>
      </c>
      <c r="D43" s="18">
        <f>LNOP!D10</f>
        <v>2.8</v>
      </c>
      <c r="E43" s="31">
        <f>LNOP!E10</f>
        <v>30.4</v>
      </c>
      <c r="F43" s="16" t="str">
        <f>LNOP!F10</f>
        <v>LR</v>
      </c>
      <c r="G43" s="58">
        <f>LNOP!G10</f>
        <v>0.3</v>
      </c>
      <c r="H43" s="53">
        <f>LNOP!H10</f>
        <v>0.59</v>
      </c>
      <c r="I43" s="16">
        <f>LNOP!I10</f>
        <v>71</v>
      </c>
      <c r="J43" s="16">
        <f>LNOP!J10</f>
        <v>61</v>
      </c>
      <c r="K43" s="18" t="str">
        <f>LNOP!K10</f>
        <v>b.i.</v>
      </c>
      <c r="L43" s="25">
        <f>LNOP!L10</f>
        <v>1001.375</v>
      </c>
      <c r="M43" s="36" t="str">
        <f>LNOP!M10</f>
        <v>.16-03</v>
      </c>
      <c r="N43" s="25">
        <f>LNOP!N10</f>
        <v>1524.2857142857142</v>
      </c>
      <c r="O43" s="73" t="str">
        <f>LNOP!O10</f>
        <v>.16-05</v>
      </c>
      <c r="P43" s="25">
        <f>LNOP!P10</f>
        <v>1078</v>
      </c>
      <c r="Q43" s="36" t="str">
        <f>LNOP!Q10</f>
        <v>.16-01</v>
      </c>
      <c r="R43" s="31" t="str">
        <f>LNOP!R10</f>
        <v>L-shop</v>
      </c>
      <c r="S43" s="25">
        <f>LNOP!S10</f>
        <v>1295</v>
      </c>
      <c r="T43" s="36" t="str">
        <f>LNOP!T10</f>
        <v>.16-01</v>
      </c>
      <c r="U43" s="31" t="str">
        <f>LNOP!U10</f>
        <v>igor</v>
      </c>
    </row>
    <row r="44" spans="1:21">
      <c r="A44" s="144" t="str">
        <f>LNOP!A161</f>
        <v>Fuji Photo</v>
      </c>
      <c r="B44" s="22" t="str">
        <f>LNOP!B161</f>
        <v>EBC Fujinon-SW 19/3.5</v>
      </c>
      <c r="C44" s="27">
        <f>LNOP!C161</f>
        <v>19</v>
      </c>
      <c r="D44" s="41">
        <f>LNOP!D161</f>
        <v>3.5</v>
      </c>
      <c r="E44" s="33">
        <f>LNOP!E161</f>
        <v>30.400000000000002</v>
      </c>
      <c r="F44" s="27" t="str">
        <f>LNOP!F161</f>
        <v>M42</v>
      </c>
      <c r="G44" s="55">
        <f>LNOP!G161</f>
        <v>0.3</v>
      </c>
      <c r="H44" s="56">
        <f>LNOP!H161</f>
        <v>0.26400000000000001</v>
      </c>
      <c r="I44" s="27" t="str">
        <f>LNOP!I161</f>
        <v xml:space="preserve"> </v>
      </c>
      <c r="J44" s="27" t="str">
        <f>LNOP!J161</f>
        <v xml:space="preserve"> </v>
      </c>
      <c r="K44" s="41">
        <f>LNOP!K161</f>
        <v>72</v>
      </c>
      <c r="L44" s="26">
        <f>LNOP!L161</f>
        <v>297</v>
      </c>
      <c r="M44" s="24" t="str">
        <f>LNOP!M161</f>
        <v>.16-05</v>
      </c>
      <c r="N44" s="26">
        <f>LNOP!N161</f>
        <v>427</v>
      </c>
      <c r="O44" s="124" t="str">
        <f>LNOP!O161</f>
        <v>.15-07</v>
      </c>
      <c r="P44" s="26" t="str">
        <f>LNOP!P161</f>
        <v xml:space="preserve"> </v>
      </c>
      <c r="Q44" s="24" t="str">
        <f>LNOP!Q161</f>
        <v xml:space="preserve"> </v>
      </c>
      <c r="R44" s="33" t="str">
        <f>LNOP!R161</f>
        <v xml:space="preserve"> </v>
      </c>
      <c r="S44" s="26" t="str">
        <f>LNOP!S161</f>
        <v xml:space="preserve"> </v>
      </c>
      <c r="T44" s="24" t="str">
        <f>LNOP!T161</f>
        <v xml:space="preserve"> </v>
      </c>
      <c r="U44" s="33" t="str">
        <f>LNOP!U161</f>
        <v xml:space="preserve"> </v>
      </c>
    </row>
    <row r="45" spans="1:21">
      <c r="A45" s="143" t="str">
        <f>STT!A8</f>
        <v>Sigma</v>
      </c>
      <c r="B45" s="11" t="str">
        <f>STT!B8</f>
        <v>EX 20/1.8 Asp DG RF rl</v>
      </c>
      <c r="C45" s="16">
        <f>STT!C8</f>
        <v>20</v>
      </c>
      <c r="D45" s="18">
        <f>STT!D8</f>
        <v>1.4</v>
      </c>
      <c r="E45" s="31">
        <f>STT!E8</f>
        <v>32</v>
      </c>
      <c r="F45" s="16" t="str">
        <f>STT!F8</f>
        <v>EF</v>
      </c>
      <c r="G45" s="58">
        <f>STT!G8</f>
        <v>0.27600000000000002</v>
      </c>
      <c r="H45" s="53">
        <f>STT!H8</f>
        <v>0.95</v>
      </c>
      <c r="I45" s="16">
        <f>STT!I8</f>
        <v>129.80000000000001</v>
      </c>
      <c r="J45" s="16">
        <f>STT!J8</f>
        <v>90.7</v>
      </c>
      <c r="K45" s="18" t="str">
        <f>STT!K8</f>
        <v xml:space="preserve"> </v>
      </c>
      <c r="L45" s="25">
        <f>STT!L8</f>
        <v>745</v>
      </c>
      <c r="M45" s="36" t="str">
        <f>STT!M8</f>
        <v>.16-05</v>
      </c>
      <c r="N45" s="25">
        <f>STT!N8</f>
        <v>792</v>
      </c>
      <c r="O45" s="73" t="str">
        <f>STT!O8</f>
        <v>.16-05</v>
      </c>
      <c r="P45" s="25" t="str">
        <f>STT!P8</f>
        <v xml:space="preserve"> </v>
      </c>
      <c r="Q45" s="36" t="str">
        <f>STT!Q8</f>
        <v xml:space="preserve"> </v>
      </c>
      <c r="R45" s="31" t="str">
        <f>STT!R8</f>
        <v xml:space="preserve"> </v>
      </c>
      <c r="S45" s="25" t="str">
        <f>STT!S8</f>
        <v xml:space="preserve"> </v>
      </c>
      <c r="T45" s="36" t="str">
        <f>STT!T8</f>
        <v xml:space="preserve"> </v>
      </c>
      <c r="U45" s="31" t="str">
        <f>STT!U8</f>
        <v xml:space="preserve"> </v>
      </c>
    </row>
    <row r="46" spans="1:21">
      <c r="A46" s="143" t="str">
        <f>STT!A9</f>
        <v>Sigma</v>
      </c>
      <c r="B46" s="11" t="str">
        <f>STT!B9</f>
        <v>EX 20/1.8 Asp DG RF rl</v>
      </c>
      <c r="C46" s="16">
        <f>STT!C9</f>
        <v>20</v>
      </c>
      <c r="D46" s="18">
        <f>STT!D9</f>
        <v>1.8</v>
      </c>
      <c r="E46" s="31">
        <f>STT!E9</f>
        <v>32</v>
      </c>
      <c r="F46" s="16" t="str">
        <f>STT!F9</f>
        <v>EF</v>
      </c>
      <c r="G46" s="58">
        <f>STT!G9</f>
        <v>0.2</v>
      </c>
      <c r="H46" s="53">
        <f>STT!H9</f>
        <v>0.52</v>
      </c>
      <c r="I46" s="16">
        <f>STT!I9</f>
        <v>87</v>
      </c>
      <c r="J46" s="16">
        <f>STT!J9</f>
        <v>89</v>
      </c>
      <c r="K46" s="18">
        <f>STT!K9</f>
        <v>82</v>
      </c>
      <c r="L46" s="25">
        <f>STT!L9</f>
        <v>236.14285714285714</v>
      </c>
      <c r="M46" s="36" t="str">
        <f>STT!M9</f>
        <v>.16-04</v>
      </c>
      <c r="N46" s="25">
        <f>STT!N9</f>
        <v>387.5</v>
      </c>
      <c r="O46" s="73" t="str">
        <f>STT!O9</f>
        <v>.16-05</v>
      </c>
      <c r="P46" s="25">
        <f>STT!P9</f>
        <v>310</v>
      </c>
      <c r="Q46" s="36" t="str">
        <f>STT!Q9</f>
        <v>.16-01</v>
      </c>
      <c r="R46" s="31" t="str">
        <f>STT!R9</f>
        <v>ado</v>
      </c>
      <c r="S46" s="25">
        <f>STT!S9</f>
        <v>450</v>
      </c>
      <c r="T46" s="36" t="str">
        <f>STT!T9</f>
        <v>.14-08</v>
      </c>
      <c r="U46" s="31" t="str">
        <f>STT!U9</f>
        <v>LA</v>
      </c>
    </row>
    <row r="47" spans="1:21">
      <c r="A47" s="143" t="str">
        <f>EFp!A10</f>
        <v>Canon</v>
      </c>
      <c r="B47" s="11" t="str">
        <f>EFp!B10</f>
        <v xml:space="preserve">EF 20/2.8 USM </v>
      </c>
      <c r="C47" s="16">
        <f>EFp!C10</f>
        <v>20</v>
      </c>
      <c r="D47" s="18">
        <f>EFp!D10</f>
        <v>2.8</v>
      </c>
      <c r="E47" s="31">
        <f>EFp!E10</f>
        <v>32</v>
      </c>
      <c r="F47" s="16" t="str">
        <f>EFp!F10</f>
        <v>EF</v>
      </c>
      <c r="G47" s="58">
        <f>EFp!G10</f>
        <v>0.25</v>
      </c>
      <c r="H47" s="53">
        <f>EFp!H10</f>
        <v>0.40500000000000003</v>
      </c>
      <c r="I47" s="16">
        <f>EFp!I10</f>
        <v>70.599999999999994</v>
      </c>
      <c r="J47" s="16">
        <f>EFp!J10</f>
        <v>77.5</v>
      </c>
      <c r="K47" s="18">
        <f>EFp!K10</f>
        <v>72</v>
      </c>
      <c r="L47" s="25">
        <f>EFp!L10</f>
        <v>240.6</v>
      </c>
      <c r="M47" s="36" t="str">
        <f>EFp!M10</f>
        <v>.16-05</v>
      </c>
      <c r="N47" s="25">
        <f>EFp!N10</f>
        <v>300.36363636363637</v>
      </c>
      <c r="O47" s="73" t="str">
        <f>EFp!O10</f>
        <v>.16-05</v>
      </c>
      <c r="P47" s="25">
        <f>EFp!P10</f>
        <v>370</v>
      </c>
      <c r="Q47" s="36" t="str">
        <f>EFp!Q10</f>
        <v>.16-01</v>
      </c>
      <c r="R47" s="31" t="str">
        <f>EFp!R10</f>
        <v>ado</v>
      </c>
      <c r="S47" s="25">
        <f>EFp!S10</f>
        <v>490</v>
      </c>
      <c r="T47" s="36" t="str">
        <f>EFp!T10</f>
        <v>.15-11</v>
      </c>
      <c r="U47" s="31" t="str">
        <f>EFp!U10</f>
        <v>keh</v>
      </c>
    </row>
    <row r="48" spans="1:21">
      <c r="A48" s="143" t="str">
        <f>CZ.V!A86</f>
        <v>Zeiss Jena</v>
      </c>
      <c r="B48" s="11" t="str">
        <f>CZ.V!B86</f>
        <v xml:space="preserve">Flektogon 20/2.8 </v>
      </c>
      <c r="C48" s="16">
        <f>CZ.V!C86</f>
        <v>20</v>
      </c>
      <c r="D48" s="18">
        <f>CZ.V!D86</f>
        <v>2.8</v>
      </c>
      <c r="E48" s="31">
        <f>CZ.V!E86</f>
        <v>32</v>
      </c>
      <c r="F48" s="16" t="str">
        <f>CZ.V!F86</f>
        <v>M42</v>
      </c>
      <c r="G48" s="58">
        <f>CZ.V!G86</f>
        <v>0.19</v>
      </c>
      <c r="H48" s="53">
        <f>CZ.V!H86</f>
        <v>0.31</v>
      </c>
      <c r="I48" s="16">
        <f>CZ.V!I86</f>
        <v>47</v>
      </c>
      <c r="J48" s="16">
        <f>CZ.V!J86</f>
        <v>74</v>
      </c>
      <c r="K48" s="18">
        <f>CZ.V!K86</f>
        <v>67</v>
      </c>
      <c r="L48" s="25">
        <f>CZ.V!L86</f>
        <v>342.1</v>
      </c>
      <c r="M48" s="36" t="str">
        <f>CZ.V!M86</f>
        <v>.16-05</v>
      </c>
      <c r="N48" s="25">
        <f>CZ.V!N86</f>
        <v>443.5</v>
      </c>
      <c r="O48" s="73" t="str">
        <f>CZ.V!O86</f>
        <v>.16-03</v>
      </c>
      <c r="P48" s="25" t="str">
        <f>CZ.V!P86</f>
        <v xml:space="preserve"> </v>
      </c>
      <c r="Q48" s="36" t="str">
        <f>CZ.V!Q86</f>
        <v xml:space="preserve"> </v>
      </c>
      <c r="R48" s="31" t="str">
        <f>CZ.V!R86</f>
        <v xml:space="preserve"> </v>
      </c>
      <c r="S48" s="25" t="str">
        <f>CZ.V!S86</f>
        <v xml:space="preserve"> </v>
      </c>
      <c r="T48" s="36" t="str">
        <f>CZ.V!T86</f>
        <v xml:space="preserve"> </v>
      </c>
      <c r="U48" s="31" t="str">
        <f>CZ.V!U86</f>
        <v xml:space="preserve"> </v>
      </c>
    </row>
    <row r="49" spans="1:21">
      <c r="A49" s="143" t="str">
        <f>LNOP!A45</f>
        <v>Nikon</v>
      </c>
      <c r="B49" s="11" t="str">
        <f>LNOP!B45</f>
        <v>Nikkor 20/2.8</v>
      </c>
      <c r="C49" s="16">
        <f>LNOP!C45</f>
        <v>20</v>
      </c>
      <c r="D49" s="18">
        <f>LNOP!D45</f>
        <v>2.8</v>
      </c>
      <c r="E49" s="31">
        <f>LNOP!E45</f>
        <v>32</v>
      </c>
      <c r="F49" s="16" t="str">
        <f>LNOP!F45</f>
        <v>AIS</v>
      </c>
      <c r="G49" s="58">
        <f>LNOP!G45</f>
        <v>0.25</v>
      </c>
      <c r="H49" s="53">
        <f>LNOP!H45</f>
        <v>0.26</v>
      </c>
      <c r="I49" s="16">
        <f>LNOP!I45</f>
        <v>42.5</v>
      </c>
      <c r="J49" s="16">
        <f>LNOP!J45</f>
        <v>69</v>
      </c>
      <c r="K49" s="18">
        <f>LNOP!K45</f>
        <v>62</v>
      </c>
      <c r="L49" s="25">
        <f>LNOP!L45</f>
        <v>274.22222222222223</v>
      </c>
      <c r="M49" s="36" t="str">
        <f>LNOP!M45</f>
        <v>.16-05</v>
      </c>
      <c r="N49" s="25">
        <f>LNOP!N45</f>
        <v>388.81818181818181</v>
      </c>
      <c r="O49" s="73" t="str">
        <f>LNOP!O45</f>
        <v>.16-05</v>
      </c>
      <c r="P49" s="25">
        <f>LNOP!P45</f>
        <v>440</v>
      </c>
      <c r="Q49" s="36" t="str">
        <f>LNOP!Q45</f>
        <v>.14-08</v>
      </c>
      <c r="R49" s="31" t="str">
        <f>LNOP!R45</f>
        <v>ado</v>
      </c>
      <c r="S49" s="25">
        <f>LNOP!S45</f>
        <v>600</v>
      </c>
      <c r="T49" s="36" t="str">
        <f>LNOP!T45</f>
        <v>.14-08</v>
      </c>
      <c r="U49" s="31" t="str">
        <f>LNOP!U45</f>
        <v>keh</v>
      </c>
    </row>
    <row r="50" spans="1:21">
      <c r="A50" s="143" t="str">
        <f>LNOP!A115</f>
        <v>Pentax</v>
      </c>
      <c r="B50" s="11" t="str">
        <f>LNOP!B115</f>
        <v>SMC Pentax-A 20/2.8</v>
      </c>
      <c r="C50" s="16">
        <f>LNOP!C115</f>
        <v>20</v>
      </c>
      <c r="D50" s="18">
        <f>LNOP!D115</f>
        <v>2.8</v>
      </c>
      <c r="E50" s="31">
        <f>LNOP!E115</f>
        <v>32</v>
      </c>
      <c r="F50" s="16" t="str">
        <f>LNOP!F115</f>
        <v>KA</v>
      </c>
      <c r="G50" s="58">
        <f>LNOP!G115</f>
        <v>0.25</v>
      </c>
      <c r="H50" s="53">
        <f>LNOP!H115</f>
        <v>0.245</v>
      </c>
      <c r="I50" s="16">
        <f>LNOP!I115</f>
        <v>43.5</v>
      </c>
      <c r="J50" s="16">
        <f>LNOP!J115</f>
        <v>70</v>
      </c>
      <c r="K50" s="18">
        <f>LNOP!K115</f>
        <v>67</v>
      </c>
      <c r="L50" s="25">
        <f>LNOP!L115</f>
        <v>406.08333333333331</v>
      </c>
      <c r="M50" s="36" t="str">
        <f>LNOP!M115</f>
        <v>.16-05</v>
      </c>
      <c r="N50" s="25">
        <f>LNOP!N115</f>
        <v>549.22222222222217</v>
      </c>
      <c r="O50" s="73" t="str">
        <f>LNOP!O115</f>
        <v>.16-03</v>
      </c>
      <c r="P50" s="25">
        <f>LNOP!P115</f>
        <v>619</v>
      </c>
      <c r="Q50" s="36" t="str">
        <f>LNOP!Q115</f>
        <v>.15-01</v>
      </c>
      <c r="R50" s="31" t="str">
        <f>LNOP!R115</f>
        <v>keh</v>
      </c>
      <c r="S50" s="25">
        <f>LNOP!S115</f>
        <v>648</v>
      </c>
      <c r="T50" s="36" t="str">
        <f>LNOP!T115</f>
        <v>.15-04</v>
      </c>
      <c r="U50" s="31" t="str">
        <f>LNOP!U115</f>
        <v>keh</v>
      </c>
    </row>
    <row r="51" spans="1:21">
      <c r="A51" s="143" t="str">
        <f>CZ.V!A100</f>
        <v>Voigtlander</v>
      </c>
      <c r="B51" s="11" t="str">
        <f>CZ.V!B100</f>
        <v xml:space="preserve">20/3.5 Color Skopar Asp SL II </v>
      </c>
      <c r="C51" s="16">
        <f>CZ.V!C100</f>
        <v>20</v>
      </c>
      <c r="D51" s="18">
        <f>CZ.V!D100</f>
        <v>3.5</v>
      </c>
      <c r="E51" s="31">
        <f>CZ.V!E100</f>
        <v>32</v>
      </c>
      <c r="F51" s="16" t="str">
        <f>CZ.V!F100</f>
        <v>x</v>
      </c>
      <c r="G51" s="58">
        <f>CZ.V!G100</f>
        <v>0.2</v>
      </c>
      <c r="H51" s="53">
        <f>CZ.V!H100</f>
        <v>0.2</v>
      </c>
      <c r="I51" s="16">
        <f>CZ.V!I100</f>
        <v>28.8</v>
      </c>
      <c r="J51" s="16">
        <f>CZ.V!J100</f>
        <v>63</v>
      </c>
      <c r="K51" s="18">
        <f>CZ.V!K100</f>
        <v>52</v>
      </c>
      <c r="L51" s="25">
        <f>CZ.V!L100</f>
        <v>317.7</v>
      </c>
      <c r="M51" s="36" t="str">
        <f>CZ.V!M100</f>
        <v>.16-05</v>
      </c>
      <c r="N51" s="25">
        <f>CZ.V!N100</f>
        <v>426.27272727272725</v>
      </c>
      <c r="O51" s="73" t="str">
        <f>CZ.V!O100</f>
        <v>.16-04</v>
      </c>
      <c r="P51" s="25">
        <f>CZ.V!P100</f>
        <v>420</v>
      </c>
      <c r="Q51" s="36" t="str">
        <f>CZ.V!Q100</f>
        <v>.16-01</v>
      </c>
      <c r="R51" s="31" t="str">
        <f>CZ.V!R100</f>
        <v>b&amp;h</v>
      </c>
      <c r="S51" s="25">
        <f>CZ.V!S100</f>
        <v>500</v>
      </c>
      <c r="T51" s="36" t="str">
        <f>CZ.V!T100</f>
        <v>.14-08</v>
      </c>
      <c r="U51" s="31" t="str">
        <f>CZ.V!U100</f>
        <v>ado</v>
      </c>
    </row>
    <row r="52" spans="1:21">
      <c r="A52" s="143" t="str">
        <f>LNOP!A46</f>
        <v>Nikon</v>
      </c>
      <c r="B52" s="11" t="str">
        <f>LNOP!B46</f>
        <v>Nikkor 20/3.5</v>
      </c>
      <c r="C52" s="16">
        <f>LNOP!C46</f>
        <v>20</v>
      </c>
      <c r="D52" s="18">
        <f>LNOP!D46</f>
        <v>3.5</v>
      </c>
      <c r="E52" s="31">
        <f>LNOP!E46</f>
        <v>32</v>
      </c>
      <c r="F52" s="16" t="str">
        <f>LNOP!F46</f>
        <v>AI</v>
      </c>
      <c r="G52" s="58">
        <f>LNOP!G46</f>
        <v>0.3</v>
      </c>
      <c r="H52" s="53">
        <f>LNOP!H46</f>
        <v>0.23499999999999999</v>
      </c>
      <c r="I52" s="16">
        <f>LNOP!I46</f>
        <v>40.5</v>
      </c>
      <c r="J52" s="16">
        <f>LNOP!J46</f>
        <v>63.5</v>
      </c>
      <c r="K52" s="18">
        <f>LNOP!K46</f>
        <v>52</v>
      </c>
      <c r="L52" s="25">
        <f>LNOP!L46</f>
        <v>218.54545454545453</v>
      </c>
      <c r="M52" s="36" t="str">
        <f>LNOP!M46</f>
        <v>.16-05</v>
      </c>
      <c r="N52" s="25">
        <f>LNOP!N46</f>
        <v>317.33333333333331</v>
      </c>
      <c r="O52" s="73" t="str">
        <f>LNOP!O46</f>
        <v>.16-05</v>
      </c>
      <c r="P52" s="25">
        <f>LNOP!P46</f>
        <v>320</v>
      </c>
      <c r="Q52" s="36" t="str">
        <f>LNOP!Q46</f>
        <v>.16-01</v>
      </c>
      <c r="R52" s="31" t="str">
        <f>LNOP!R46</f>
        <v>keh</v>
      </c>
      <c r="S52" s="25">
        <f>LNOP!S46</f>
        <v>275</v>
      </c>
      <c r="T52" s="36" t="str">
        <f>LNOP!T46</f>
        <v>.15-04</v>
      </c>
      <c r="U52" s="31" t="str">
        <f>LNOP!U46</f>
        <v>igor</v>
      </c>
    </row>
    <row r="53" spans="1:21">
      <c r="A53" s="143" t="str">
        <f>CZ.V!A87</f>
        <v>Zeiss Jena</v>
      </c>
      <c r="B53" s="11" t="str">
        <f>CZ.V!B87</f>
        <v xml:space="preserve">Flektogon 20/4 </v>
      </c>
      <c r="C53" s="16">
        <f>CZ.V!C87</f>
        <v>20</v>
      </c>
      <c r="D53" s="18">
        <f>CZ.V!D87</f>
        <v>4</v>
      </c>
      <c r="E53" s="31">
        <f>CZ.V!E87</f>
        <v>32</v>
      </c>
      <c r="F53" s="16" t="str">
        <f>CZ.V!F87</f>
        <v>M42</v>
      </c>
      <c r="G53" s="58">
        <f>CZ.V!G87</f>
        <v>0.15</v>
      </c>
      <c r="H53" s="53">
        <f>CZ.V!H87</f>
        <v>0.33700000000000002</v>
      </c>
      <c r="I53" s="16">
        <f>CZ.V!I87</f>
        <v>49</v>
      </c>
      <c r="J53" s="16">
        <f>CZ.V!J87</f>
        <v>83</v>
      </c>
      <c r="K53" s="18">
        <f>CZ.V!K87</f>
        <v>77</v>
      </c>
      <c r="L53" s="25">
        <f>CZ.V!L87</f>
        <v>245</v>
      </c>
      <c r="M53" s="36" t="str">
        <f>CZ.V!M87</f>
        <v>.16-04</v>
      </c>
      <c r="N53" s="25">
        <f>CZ.V!N87</f>
        <v>366</v>
      </c>
      <c r="O53" s="73" t="str">
        <f>CZ.V!O87</f>
        <v>.14-11</v>
      </c>
      <c r="P53" s="25" t="str">
        <f>CZ.V!P87</f>
        <v xml:space="preserve"> </v>
      </c>
      <c r="Q53" s="36" t="str">
        <f>CZ.V!Q87</f>
        <v xml:space="preserve"> </v>
      </c>
      <c r="R53" s="31" t="str">
        <f>CZ.V!R87</f>
        <v xml:space="preserve"> </v>
      </c>
      <c r="S53" s="25" t="str">
        <f>CZ.V!S87</f>
        <v xml:space="preserve"> </v>
      </c>
      <c r="T53" s="36" t="str">
        <f>CZ.V!T87</f>
        <v xml:space="preserve"> </v>
      </c>
      <c r="U53" s="31" t="str">
        <f>CZ.V!U87</f>
        <v xml:space="preserve"> </v>
      </c>
    </row>
    <row r="54" spans="1:21">
      <c r="A54" s="143" t="str">
        <f>LNOP!A116</f>
        <v>Pentax</v>
      </c>
      <c r="B54" s="11" t="str">
        <f>LNOP!B116</f>
        <v>SMC Pentax 20/4</v>
      </c>
      <c r="C54" s="16">
        <f>LNOP!C116</f>
        <v>20</v>
      </c>
      <c r="D54" s="18">
        <f>LNOP!D116</f>
        <v>4</v>
      </c>
      <c r="E54" s="31">
        <f>LNOP!E116</f>
        <v>32</v>
      </c>
      <c r="F54" s="16" t="str">
        <f>LNOP!F116</f>
        <v>K</v>
      </c>
      <c r="G54" s="58">
        <f>LNOP!G116</f>
        <v>0.25</v>
      </c>
      <c r="H54" s="53">
        <f>LNOP!H116</f>
        <v>0.3</v>
      </c>
      <c r="I54" s="16">
        <f>LNOP!I116</f>
        <v>57</v>
      </c>
      <c r="J54" s="16">
        <f>LNOP!J116</f>
        <v>63</v>
      </c>
      <c r="K54" s="18">
        <f>LNOP!K116</f>
        <v>58</v>
      </c>
      <c r="L54" s="25">
        <f>LNOP!L116</f>
        <v>297.25</v>
      </c>
      <c r="M54" s="36" t="str">
        <f>LNOP!M116</f>
        <v>.14-10</v>
      </c>
      <c r="N54" s="25" t="str">
        <f>LNOP!N116</f>
        <v xml:space="preserve"> </v>
      </c>
      <c r="O54" s="73" t="str">
        <f>LNOP!O116</f>
        <v xml:space="preserve"> </v>
      </c>
      <c r="P54" s="25" t="str">
        <f>LNOP!P116</f>
        <v xml:space="preserve"> </v>
      </c>
      <c r="Q54" s="36" t="str">
        <f>LNOP!Q116</f>
        <v xml:space="preserve"> </v>
      </c>
      <c r="R54" s="31" t="str">
        <f>LNOP!R116</f>
        <v xml:space="preserve"> </v>
      </c>
      <c r="S54" s="25">
        <f>LNOP!S116</f>
        <v>600</v>
      </c>
      <c r="T54" s="36" t="str">
        <f>LNOP!T116</f>
        <v>.13-04</v>
      </c>
      <c r="U54" s="31" t="str">
        <f>LNOP!U116</f>
        <v>kevin</v>
      </c>
    </row>
    <row r="55" spans="1:21">
      <c r="A55" s="143" t="str">
        <f>LNOP!A117</f>
        <v>Pentax</v>
      </c>
      <c r="B55" s="11" t="str">
        <f>LNOP!B117</f>
        <v>SMC Pentax-M 20/4</v>
      </c>
      <c r="C55" s="16">
        <f>LNOP!C117</f>
        <v>20</v>
      </c>
      <c r="D55" s="18">
        <f>LNOP!D117</f>
        <v>4</v>
      </c>
      <c r="E55" s="31">
        <f>LNOP!E117</f>
        <v>32</v>
      </c>
      <c r="F55" s="16" t="str">
        <f>LNOP!F117</f>
        <v>K</v>
      </c>
      <c r="G55" s="58">
        <f>LNOP!G117</f>
        <v>0.25</v>
      </c>
      <c r="H55" s="53">
        <f>LNOP!H117</f>
        <v>0.15</v>
      </c>
      <c r="I55" s="16">
        <f>LNOP!I117</f>
        <v>30</v>
      </c>
      <c r="J55" s="16">
        <f>LNOP!J117</f>
        <v>63</v>
      </c>
      <c r="K55" s="18">
        <f>LNOP!K117</f>
        <v>49</v>
      </c>
      <c r="L55" s="25">
        <f>LNOP!L117</f>
        <v>250.2</v>
      </c>
      <c r="M55" s="36" t="str">
        <f>LNOP!M117</f>
        <v>.16-01</v>
      </c>
      <c r="N55" s="25">
        <f>LNOP!N117</f>
        <v>345.75</v>
      </c>
      <c r="O55" s="73" t="str">
        <f>LNOP!O117</f>
        <v>.16-03</v>
      </c>
      <c r="P55" s="25">
        <f>LNOP!P117</f>
        <v>395</v>
      </c>
      <c r="Q55" s="36" t="str">
        <f>LNOP!Q117</f>
        <v>.14-03</v>
      </c>
      <c r="R55" s="31" t="str">
        <f>LNOP!R117</f>
        <v>kevin</v>
      </c>
      <c r="S55" s="25">
        <f>LNOP!S117</f>
        <v>525</v>
      </c>
      <c r="T55" s="36" t="str">
        <f>LNOP!T117</f>
        <v>.14-03</v>
      </c>
      <c r="U55" s="31" t="str">
        <f>LNOP!U117</f>
        <v>kevin</v>
      </c>
    </row>
    <row r="56" spans="1:21">
      <c r="A56" s="143" t="str">
        <f>LNOP!A101</f>
        <v>Pentax</v>
      </c>
      <c r="B56" s="11" t="str">
        <f>LNOP!B101</f>
        <v>Super-Takumar 20/4.5</v>
      </c>
      <c r="C56" s="16">
        <f>LNOP!C101</f>
        <v>20</v>
      </c>
      <c r="D56" s="18">
        <f>LNOP!D101</f>
        <v>4.5</v>
      </c>
      <c r="E56" s="31">
        <f>LNOP!E101</f>
        <v>32</v>
      </c>
      <c r="F56" s="16" t="str">
        <f>LNOP!F101</f>
        <v>M42</v>
      </c>
      <c r="G56" s="58">
        <f>LNOP!G101</f>
        <v>0.2</v>
      </c>
      <c r="H56" s="53">
        <f>LNOP!H101</f>
        <v>0.251</v>
      </c>
      <c r="I56" s="16">
        <f>LNOP!I101</f>
        <v>45</v>
      </c>
      <c r="J56" s="16">
        <f>LNOP!J101</f>
        <v>62</v>
      </c>
      <c r="K56" s="18">
        <f>LNOP!K101</f>
        <v>77</v>
      </c>
      <c r="L56" s="25">
        <f>LNOP!L101</f>
        <v>137.6</v>
      </c>
      <c r="M56" s="36" t="str">
        <f>LNOP!M101</f>
        <v>.16-01</v>
      </c>
      <c r="N56" s="25">
        <f>LNOP!N101</f>
        <v>275</v>
      </c>
      <c r="O56" s="73" t="str">
        <f>LNOP!O101</f>
        <v>.15-04</v>
      </c>
      <c r="P56" s="25">
        <f>LNOP!P101</f>
        <v>200</v>
      </c>
      <c r="Q56" s="36" t="str">
        <f>LNOP!Q101</f>
        <v>.14-03</v>
      </c>
      <c r="R56" s="31" t="str">
        <f>LNOP!R101</f>
        <v>b&amp;h</v>
      </c>
      <c r="S56" s="25" t="str">
        <f>LNOP!S101</f>
        <v xml:space="preserve"> </v>
      </c>
      <c r="T56" s="36" t="str">
        <f>LNOP!T101</f>
        <v xml:space="preserve"> </v>
      </c>
      <c r="U56" s="31" t="str">
        <f>LNOP!U101</f>
        <v xml:space="preserve"> </v>
      </c>
    </row>
    <row r="57" spans="1:21">
      <c r="A57" s="144" t="str">
        <f>LNOP!A102</f>
        <v>Pentax</v>
      </c>
      <c r="B57" s="22" t="str">
        <f>LNOP!B102</f>
        <v>SMC Takumar 20/4.5</v>
      </c>
      <c r="C57" s="27">
        <f>LNOP!C102</f>
        <v>20</v>
      </c>
      <c r="D57" s="41">
        <f>LNOP!D102</f>
        <v>4.5</v>
      </c>
      <c r="E57" s="33">
        <f>LNOP!E102</f>
        <v>32</v>
      </c>
      <c r="F57" s="27" t="str">
        <f>LNOP!F102</f>
        <v>M42</v>
      </c>
      <c r="G57" s="55">
        <f>LNOP!G102</f>
        <v>0.2</v>
      </c>
      <c r="H57" s="56">
        <f>LNOP!H102</f>
        <v>0.251</v>
      </c>
      <c r="I57" s="27">
        <f>LNOP!I102</f>
        <v>45</v>
      </c>
      <c r="J57" s="27">
        <f>LNOP!J102</f>
        <v>62</v>
      </c>
      <c r="K57" s="41">
        <f>LNOP!K102</f>
        <v>77</v>
      </c>
      <c r="L57" s="26">
        <f>LNOP!L102</f>
        <v>153.5</v>
      </c>
      <c r="M57" s="24" t="str">
        <f>LNOP!M102</f>
        <v>.16-05</v>
      </c>
      <c r="N57" s="26">
        <f>LNOP!N102</f>
        <v>243.875</v>
      </c>
      <c r="O57" s="124" t="str">
        <f>LNOP!O102</f>
        <v>.16-05</v>
      </c>
      <c r="P57" s="26" t="str">
        <f>LNOP!P102</f>
        <v xml:space="preserve"> </v>
      </c>
      <c r="Q57" s="24" t="str">
        <f>LNOP!Q102</f>
        <v xml:space="preserve"> </v>
      </c>
      <c r="R57" s="33" t="str">
        <f>LNOP!R102</f>
        <v xml:space="preserve"> </v>
      </c>
      <c r="S57" s="26" t="str">
        <f>LNOP!S102</f>
        <v xml:space="preserve"> </v>
      </c>
      <c r="T57" s="24" t="str">
        <f>LNOP!T102</f>
        <v xml:space="preserve"> </v>
      </c>
      <c r="U57" s="33" t="str">
        <f>LNOP!U102</f>
        <v xml:space="preserve"> </v>
      </c>
    </row>
    <row r="58" spans="1:21">
      <c r="A58" s="143" t="str">
        <f>LNOP!A72</f>
        <v>Olympus</v>
      </c>
      <c r="B58" s="11" t="str">
        <f>LNOP!B72</f>
        <v xml:space="preserve">Zuiko 21/2 </v>
      </c>
      <c r="C58" s="16">
        <f>LNOP!C72</f>
        <v>21</v>
      </c>
      <c r="D58" s="18">
        <f>LNOP!D72</f>
        <v>2</v>
      </c>
      <c r="E58" s="31">
        <f>LNOP!E72</f>
        <v>33.6</v>
      </c>
      <c r="F58" s="16" t="str">
        <f>LNOP!F72</f>
        <v>OM</v>
      </c>
      <c r="G58" s="58">
        <f>LNOP!G72</f>
        <v>0.2</v>
      </c>
      <c r="H58" s="53">
        <f>LNOP!H72</f>
        <v>0.25</v>
      </c>
      <c r="I58" s="16">
        <f>LNOP!I72</f>
        <v>43.5</v>
      </c>
      <c r="J58" s="16">
        <f>LNOP!J72</f>
        <v>60</v>
      </c>
      <c r="K58" s="18">
        <f>LNOP!K72</f>
        <v>55</v>
      </c>
      <c r="L58" s="25">
        <f>LNOP!L72</f>
        <v>820.38461538461536</v>
      </c>
      <c r="M58" s="36" t="str">
        <f>LNOP!M72</f>
        <v>.16-03</v>
      </c>
      <c r="N58" s="25">
        <f>LNOP!N72</f>
        <v>1046.3333333333333</v>
      </c>
      <c r="O58" s="73" t="str">
        <f>LNOP!O72</f>
        <v>.16-01</v>
      </c>
      <c r="P58" s="25">
        <f>LNOP!P72</f>
        <v>900</v>
      </c>
      <c r="Q58" s="36" t="str">
        <f>LNOP!Q72</f>
        <v>.13-10</v>
      </c>
      <c r="R58" s="31" t="str">
        <f>LNOP!R72</f>
        <v>b&amp;h</v>
      </c>
      <c r="S58" s="25">
        <f>LNOP!S72</f>
        <v>1170</v>
      </c>
      <c r="T58" s="36" t="str">
        <f>LNOP!T72</f>
        <v>.13-10</v>
      </c>
      <c r="U58" s="31" t="str">
        <f>LNOP!U72</f>
        <v>keh</v>
      </c>
    </row>
    <row r="59" spans="1:21">
      <c r="A59" s="143" t="str">
        <f>CZ.V!A7</f>
        <v>Carl Zeiss</v>
      </c>
      <c r="B59" s="11" t="str">
        <f>CZ.V!B7</f>
        <v>Milvus T* 21/2.8 ZE</v>
      </c>
      <c r="C59" s="16">
        <f>CZ.V!C7</f>
        <v>21</v>
      </c>
      <c r="D59" s="18">
        <f>CZ.V!D7</f>
        <v>2.8</v>
      </c>
      <c r="E59" s="31">
        <f>CZ.V!E7</f>
        <v>33.6</v>
      </c>
      <c r="F59" s="16" t="str">
        <f>CZ.V!F7</f>
        <v>ZE</v>
      </c>
      <c r="G59" s="58">
        <f>CZ.V!G7</f>
        <v>0.22</v>
      </c>
      <c r="H59" s="53">
        <f>CZ.V!H7</f>
        <v>0.85099999999999998</v>
      </c>
      <c r="I59" s="16">
        <f>CZ.V!I7</f>
        <v>95</v>
      </c>
      <c r="J59" s="16">
        <f>CZ.V!J7</f>
        <v>95.5</v>
      </c>
      <c r="K59" s="18">
        <f>CZ.V!K7</f>
        <v>82</v>
      </c>
      <c r="L59" s="25">
        <f>CZ.V!L7</f>
        <v>0</v>
      </c>
      <c r="M59" s="36" t="str">
        <f>CZ.V!M7</f>
        <v xml:space="preserve"> </v>
      </c>
      <c r="N59" s="25">
        <f>CZ.V!N7</f>
        <v>0</v>
      </c>
      <c r="O59" s="73" t="str">
        <f>CZ.V!O7</f>
        <v xml:space="preserve"> </v>
      </c>
      <c r="P59" s="25" t="str">
        <f>CZ.V!P7</f>
        <v xml:space="preserve"> </v>
      </c>
      <c r="Q59" s="36" t="str">
        <f>CZ.V!Q7</f>
        <v xml:space="preserve"> </v>
      </c>
      <c r="R59" s="31" t="str">
        <f>CZ.V!R7</f>
        <v xml:space="preserve"> </v>
      </c>
      <c r="S59" s="25">
        <f>CZ.V!S7</f>
        <v>1784</v>
      </c>
      <c r="T59" s="36" t="str">
        <f>CZ.V!T7</f>
        <v>.16-03</v>
      </c>
      <c r="U59" s="31" t="str">
        <f>CZ.V!U7</f>
        <v>ado</v>
      </c>
    </row>
    <row r="60" spans="1:21">
      <c r="A60" s="143" t="str">
        <f>CZ.V!A20</f>
        <v>Carl Zeiss</v>
      </c>
      <c r="B60" s="11" t="str">
        <f>CZ.V!B20</f>
        <v>Distagon T* 21/2.8 ZE</v>
      </c>
      <c r="C60" s="16">
        <f>CZ.V!C20</f>
        <v>21</v>
      </c>
      <c r="D60" s="18">
        <f>CZ.V!D20</f>
        <v>2.8</v>
      </c>
      <c r="E60" s="31">
        <f>CZ.V!E20</f>
        <v>33.6</v>
      </c>
      <c r="F60" s="16" t="str">
        <f>CZ.V!F20</f>
        <v>ZE</v>
      </c>
      <c r="G60" s="58">
        <f>CZ.V!G20</f>
        <v>0.22</v>
      </c>
      <c r="H60" s="53">
        <f>CZ.V!H20</f>
        <v>0.72</v>
      </c>
      <c r="I60" s="16">
        <f>CZ.V!I20</f>
        <v>87</v>
      </c>
      <c r="J60" s="16">
        <f>CZ.V!J20</f>
        <v>87</v>
      </c>
      <c r="K60" s="18">
        <f>CZ.V!K20</f>
        <v>82</v>
      </c>
      <c r="L60" s="25">
        <f>CZ.V!L20</f>
        <v>881.77777777777783</v>
      </c>
      <c r="M60" s="36" t="str">
        <f>CZ.V!M20</f>
        <v>.16-05</v>
      </c>
      <c r="N60" s="25">
        <f>CZ.V!N20</f>
        <v>1395</v>
      </c>
      <c r="O60" s="73" t="str">
        <f>CZ.V!O20</f>
        <v>.16-05</v>
      </c>
      <c r="P60" s="25">
        <f>CZ.V!P20</f>
        <v>1150</v>
      </c>
      <c r="Q60" s="36" t="str">
        <f>CZ.V!Q20</f>
        <v>.16-03</v>
      </c>
      <c r="R60" s="31" t="str">
        <f>CZ.V!R20</f>
        <v>LA</v>
      </c>
      <c r="S60" s="25">
        <f>CZ.V!S20</f>
        <v>1125</v>
      </c>
      <c r="T60" s="36" t="str">
        <f>CZ.V!T20</f>
        <v>.16-01</v>
      </c>
      <c r="U60" s="31" t="str">
        <f>CZ.V!U20</f>
        <v>camW</v>
      </c>
    </row>
    <row r="61" spans="1:21">
      <c r="A61" s="143" t="str">
        <f>CZ.V!A34</f>
        <v>Carl Zeiss</v>
      </c>
      <c r="B61" s="11" t="str">
        <f>CZ.V!B34</f>
        <v>Distagon T* 21/2.8 CY</v>
      </c>
      <c r="C61" s="16">
        <f>CZ.V!C34</f>
        <v>21</v>
      </c>
      <c r="D61" s="18">
        <f>CZ.V!D34</f>
        <v>2.8</v>
      </c>
      <c r="E61" s="31">
        <f>CZ.V!E34</f>
        <v>33.6</v>
      </c>
      <c r="F61" s="16" t="str">
        <f>CZ.V!F34</f>
        <v>CY</v>
      </c>
      <c r="G61" s="58">
        <f>CZ.V!G34</f>
        <v>0.22</v>
      </c>
      <c r="H61" s="53">
        <f>CZ.V!H34</f>
        <v>0.53</v>
      </c>
      <c r="I61" s="16">
        <f>CZ.V!I34</f>
        <v>90.5</v>
      </c>
      <c r="J61" s="16">
        <f>CZ.V!J34</f>
        <v>85</v>
      </c>
      <c r="K61" s="18">
        <f>CZ.V!K34</f>
        <v>82</v>
      </c>
      <c r="L61" s="25">
        <f>CZ.V!L34</f>
        <v>1433.8888888888889</v>
      </c>
      <c r="M61" s="36" t="str">
        <f>CZ.V!M34</f>
        <v>.16-05</v>
      </c>
      <c r="N61" s="25">
        <f>CZ.V!N34</f>
        <v>2682.3333333333335</v>
      </c>
      <c r="O61" s="73" t="str">
        <f>CZ.V!O34</f>
        <v>.16-05</v>
      </c>
      <c r="P61" s="25">
        <f>CZ.V!P34</f>
        <v>1480</v>
      </c>
      <c r="Q61" s="36" t="str">
        <f>CZ.V!Q34</f>
        <v>.11-04</v>
      </c>
      <c r="R61" s="31" t="str">
        <f>CZ.V!R34</f>
        <v>keh</v>
      </c>
      <c r="S61" s="25">
        <f>CZ.V!S34</f>
        <v>2100</v>
      </c>
      <c r="T61" s="36" t="str">
        <f>CZ.V!T34</f>
        <v>.16-05</v>
      </c>
      <c r="U61" s="31" t="str">
        <f>CZ.V!U34</f>
        <v>keh</v>
      </c>
    </row>
    <row r="62" spans="1:21">
      <c r="A62" s="143" t="str">
        <f>LNOP!A73</f>
        <v>Olympus</v>
      </c>
      <c r="B62" s="11" t="str">
        <f>LNOP!B73</f>
        <v>Zuiko 21/3.5</v>
      </c>
      <c r="C62" s="16">
        <f>LNOP!C73</f>
        <v>21</v>
      </c>
      <c r="D62" s="18">
        <f>LNOP!D73</f>
        <v>3.5</v>
      </c>
      <c r="E62" s="31">
        <f>LNOP!E73</f>
        <v>33.6</v>
      </c>
      <c r="F62" s="16" t="str">
        <f>LNOP!F73</f>
        <v>OM</v>
      </c>
      <c r="G62" s="58">
        <f>LNOP!G73</f>
        <v>0.2</v>
      </c>
      <c r="H62" s="53">
        <f>LNOP!H73</f>
        <v>0.18</v>
      </c>
      <c r="I62" s="16">
        <f>LNOP!I73</f>
        <v>31</v>
      </c>
      <c r="J62" s="16">
        <f>LNOP!J73</f>
        <v>59</v>
      </c>
      <c r="K62" s="18">
        <f>LNOP!K73</f>
        <v>49</v>
      </c>
      <c r="L62" s="25">
        <f>LNOP!L73</f>
        <v>319.81818181818181</v>
      </c>
      <c r="M62" s="36" t="str">
        <f>LNOP!M73</f>
        <v>.16-05</v>
      </c>
      <c r="N62" s="25">
        <f>LNOP!N73</f>
        <v>422.2</v>
      </c>
      <c r="O62" s="73" t="str">
        <f>LNOP!O73</f>
        <v>.16-04</v>
      </c>
      <c r="P62" s="25">
        <f>LNOP!P73</f>
        <v>330</v>
      </c>
      <c r="Q62" s="36" t="str">
        <f>LNOP!Q73</f>
        <v>.16-01</v>
      </c>
      <c r="R62" s="31" t="str">
        <f>LNOP!R73</f>
        <v>b&amp;h</v>
      </c>
      <c r="S62" s="25">
        <f>LNOP!S73</f>
        <v>525</v>
      </c>
      <c r="T62" s="36" t="str">
        <f>LNOP!T73</f>
        <v>.14-08</v>
      </c>
      <c r="U62" s="31" t="str">
        <f>LNOP!U73</f>
        <v>kevin</v>
      </c>
    </row>
    <row r="63" spans="1:21">
      <c r="A63" s="143" t="str">
        <f>LNOP!A11</f>
        <v>Leica</v>
      </c>
      <c r="B63" s="11" t="str">
        <f>LNOP!B11</f>
        <v>Super Angulon R 21mm f/4</v>
      </c>
      <c r="C63" s="16">
        <f>LNOP!C11</f>
        <v>21</v>
      </c>
      <c r="D63" s="18">
        <f>LNOP!D11</f>
        <v>4</v>
      </c>
      <c r="E63" s="31">
        <f>LNOP!E11</f>
        <v>33.6</v>
      </c>
      <c r="F63" s="16" t="str">
        <f>LNOP!F11</f>
        <v>LR</v>
      </c>
      <c r="G63" s="58" t="str">
        <f>LNOP!G11</f>
        <v xml:space="preserve"> </v>
      </c>
      <c r="H63" s="53" t="str">
        <f>LNOP!H11</f>
        <v xml:space="preserve"> </v>
      </c>
      <c r="I63" s="16" t="str">
        <f>LNOP!I11</f>
        <v xml:space="preserve"> </v>
      </c>
      <c r="J63" s="16" t="str">
        <f>LNOP!J11</f>
        <v xml:space="preserve"> </v>
      </c>
      <c r="K63" s="18">
        <f>LNOP!K11</f>
        <v>72</v>
      </c>
      <c r="L63" s="25">
        <f>LNOP!L11</f>
        <v>663.66666666666663</v>
      </c>
      <c r="M63" s="36" t="str">
        <f>LNOP!M11</f>
        <v>.16-05</v>
      </c>
      <c r="N63" s="25">
        <f>LNOP!N11</f>
        <v>879.6</v>
      </c>
      <c r="O63" s="73" t="str">
        <f>LNOP!O11</f>
        <v>.15-03</v>
      </c>
      <c r="P63" s="25">
        <f>LNOP!P11</f>
        <v>625</v>
      </c>
      <c r="Q63" s="36" t="str">
        <f>LNOP!Q11</f>
        <v>.16-01</v>
      </c>
      <c r="R63" s="31" t="str">
        <f>LNOP!R11</f>
        <v>camW</v>
      </c>
      <c r="S63" s="25">
        <f>LNOP!S11</f>
        <v>725</v>
      </c>
      <c r="T63" s="36" t="str">
        <f>LNOP!T11</f>
        <v>.16-01</v>
      </c>
      <c r="U63" s="31" t="str">
        <f>LNOP!U11</f>
        <v>igor</v>
      </c>
    </row>
    <row r="64" spans="1:21">
      <c r="A64" s="144" t="str">
        <f>LNOP!A181</f>
        <v>Mamiya</v>
      </c>
      <c r="B64" s="22" t="str">
        <f>LNOP!B181</f>
        <v>mamyia/sekor AUTO 21/4 SX</v>
      </c>
      <c r="C64" s="27">
        <f>LNOP!C181</f>
        <v>21</v>
      </c>
      <c r="D64" s="41">
        <f>LNOP!D181</f>
        <v>4</v>
      </c>
      <c r="E64" s="33">
        <f>LNOP!E181</f>
        <v>33.6</v>
      </c>
      <c r="F64" s="27" t="str">
        <f>LNOP!F181</f>
        <v>M42</v>
      </c>
      <c r="G64" s="55">
        <f>LNOP!G181</f>
        <v>0.45</v>
      </c>
      <c r="H64" s="56">
        <f>LNOP!H181</f>
        <v>0.22</v>
      </c>
      <c r="I64" s="27">
        <f>LNOP!I181</f>
        <v>49</v>
      </c>
      <c r="J64" s="27">
        <f>LNOP!J181</f>
        <v>62</v>
      </c>
      <c r="K64" s="41">
        <f>LNOP!K181</f>
        <v>58</v>
      </c>
      <c r="L64" s="26">
        <f>LNOP!L181</f>
        <v>139.16666666666666</v>
      </c>
      <c r="M64" s="24" t="str">
        <f>LNOP!M181</f>
        <v>.16-02</v>
      </c>
      <c r="N64" s="26">
        <f>LNOP!N181</f>
        <v>217.5</v>
      </c>
      <c r="O64" s="124" t="str">
        <f>LNOP!O181</f>
        <v>.13-10</v>
      </c>
      <c r="P64" s="26" t="str">
        <f>LNOP!P181</f>
        <v xml:space="preserve"> </v>
      </c>
      <c r="Q64" s="24" t="str">
        <f>LNOP!Q181</f>
        <v xml:space="preserve"> </v>
      </c>
      <c r="R64" s="33" t="str">
        <f>LNOP!R181</f>
        <v xml:space="preserve"> </v>
      </c>
      <c r="S64" s="26" t="str">
        <f>LNOP!S181</f>
        <v xml:space="preserve"> </v>
      </c>
      <c r="T64" s="24" t="str">
        <f>LNOP!T181</f>
        <v xml:space="preserve"> </v>
      </c>
      <c r="U64" s="33" t="str">
        <f>LNOP!U181</f>
        <v xml:space="preserve"> </v>
      </c>
    </row>
    <row r="65" spans="1:21">
      <c r="A65" s="143" t="str">
        <f>EFp!A11</f>
        <v>Canon</v>
      </c>
      <c r="B65" s="11" t="str">
        <f>EFp!B11</f>
        <v xml:space="preserve">EF 24/1.4 L USM </v>
      </c>
      <c r="C65" s="16">
        <f>EFp!C11</f>
        <v>24</v>
      </c>
      <c r="D65" s="18">
        <f>EFp!D11</f>
        <v>1.4</v>
      </c>
      <c r="E65" s="31">
        <f>EFp!E11</f>
        <v>38.400000000000006</v>
      </c>
      <c r="F65" s="16" t="str">
        <f>EFp!F11</f>
        <v>EF</v>
      </c>
      <c r="G65" s="58">
        <f>EFp!G11</f>
        <v>0.25</v>
      </c>
      <c r="H65" s="53">
        <f>EFp!H11</f>
        <v>0.55000000000000004</v>
      </c>
      <c r="I65" s="16">
        <f>EFp!I11</f>
        <v>77.400000000000006</v>
      </c>
      <c r="J65" s="16">
        <f>EFp!J11</f>
        <v>83.5</v>
      </c>
      <c r="K65" s="18">
        <f>EFp!K11</f>
        <v>77</v>
      </c>
      <c r="L65" s="25">
        <f>EFp!L11</f>
        <v>718.8</v>
      </c>
      <c r="M65" s="36" t="str">
        <f>EFp!M11</f>
        <v>.16-05</v>
      </c>
      <c r="N65" s="25">
        <f>EFp!N11</f>
        <v>1001.0909090909091</v>
      </c>
      <c r="O65" s="73" t="str">
        <f>EFp!O11</f>
        <v>.15-08</v>
      </c>
      <c r="P65" s="25">
        <f>EFp!P11</f>
        <v>850</v>
      </c>
      <c r="Q65" s="36" t="str">
        <f>EFp!Q11</f>
        <v>.16-01</v>
      </c>
      <c r="R65" s="31" t="str">
        <f>EFp!R11</f>
        <v>igor</v>
      </c>
      <c r="S65" s="25">
        <f>EFp!S11</f>
        <v>627</v>
      </c>
      <c r="T65" s="36" t="str">
        <f>EFp!T11</f>
        <v>.15-11</v>
      </c>
      <c r="U65" s="31" t="str">
        <f>EFp!U11</f>
        <v>camtec</v>
      </c>
    </row>
    <row r="66" spans="1:21">
      <c r="A66" s="143" t="str">
        <f>EFp!A12</f>
        <v>Canon</v>
      </c>
      <c r="B66" s="11" t="str">
        <f>EFp!B12</f>
        <v xml:space="preserve">EF 24/1.4 L II USM </v>
      </c>
      <c r="C66" s="16">
        <f>EFp!C12</f>
        <v>24</v>
      </c>
      <c r="D66" s="18">
        <f>EFp!D12</f>
        <v>1.4</v>
      </c>
      <c r="E66" s="31">
        <f>EFp!E12</f>
        <v>38.400000000000006</v>
      </c>
      <c r="F66" s="16" t="str">
        <f>EFp!F12</f>
        <v>EF</v>
      </c>
      <c r="G66" s="58">
        <f>EFp!G12</f>
        <v>0.25</v>
      </c>
      <c r="H66" s="53">
        <f>EFp!H12</f>
        <v>0.65</v>
      </c>
      <c r="I66" s="16">
        <f>EFp!I12</f>
        <v>93.5</v>
      </c>
      <c r="J66" s="16">
        <f>EFp!J12</f>
        <v>86.9</v>
      </c>
      <c r="K66" s="18">
        <f>EFp!K12</f>
        <v>77</v>
      </c>
      <c r="L66" s="25">
        <f>EFp!L12</f>
        <v>852</v>
      </c>
      <c r="M66" s="36" t="str">
        <f>EFp!M12</f>
        <v>.16-05</v>
      </c>
      <c r="N66" s="25">
        <f>EFp!N12</f>
        <v>996.625</v>
      </c>
      <c r="O66" s="73" t="str">
        <f>EFp!O12</f>
        <v>.16-05</v>
      </c>
      <c r="P66" s="25">
        <f>EFp!P12</f>
        <v>1120</v>
      </c>
      <c r="Q66" s="36" t="str">
        <f>EFp!Q12</f>
        <v>.16-01</v>
      </c>
      <c r="R66" s="31" t="str">
        <f>EFp!R12</f>
        <v>keh</v>
      </c>
      <c r="S66" s="25">
        <f>EFp!S12</f>
        <v>995</v>
      </c>
      <c r="T66" s="36" t="str">
        <f>EFp!T12</f>
        <v>.16-01</v>
      </c>
      <c r="U66" s="31" t="str">
        <f>EFp!U12</f>
        <v>igor</v>
      </c>
    </row>
    <row r="67" spans="1:21">
      <c r="A67" s="143" t="str">
        <f>STT!A10</f>
        <v>Sigma</v>
      </c>
      <c r="B67" s="11" t="str">
        <f>STT!B10</f>
        <v>EX 24/1.4 Art ASP DG DF rl</v>
      </c>
      <c r="C67" s="16">
        <f>STT!C10</f>
        <v>24</v>
      </c>
      <c r="D67" s="18">
        <f>STT!D10</f>
        <v>1.4</v>
      </c>
      <c r="E67" s="31">
        <f>STT!E10</f>
        <v>38.400000000000006</v>
      </c>
      <c r="F67" s="16" t="str">
        <f>STT!F10</f>
        <v>EF</v>
      </c>
      <c r="G67" s="58">
        <f>STT!G10</f>
        <v>0.25</v>
      </c>
      <c r="H67" s="53">
        <f>STT!H10</f>
        <v>0.66500000000000004</v>
      </c>
      <c r="I67" s="16">
        <f>STT!I10</f>
        <v>90.2</v>
      </c>
      <c r="J67" s="16">
        <f>STT!J10</f>
        <v>85</v>
      </c>
      <c r="K67" s="18">
        <f>STT!K10</f>
        <v>77</v>
      </c>
      <c r="L67" s="25">
        <f>STT!L10</f>
        <v>643.33333333333337</v>
      </c>
      <c r="M67" s="36" t="str">
        <f>STT!M10</f>
        <v>.16-05</v>
      </c>
      <c r="N67" s="25">
        <f>STT!N10</f>
        <v>730</v>
      </c>
      <c r="O67" s="73" t="str">
        <f>STT!O10</f>
        <v>.16-05</v>
      </c>
      <c r="P67" s="25">
        <f>STT!P10</f>
        <v>0</v>
      </c>
      <c r="Q67" s="36" t="str">
        <f>STT!Q10</f>
        <v xml:space="preserve"> </v>
      </c>
      <c r="R67" s="31" t="str">
        <f>STT!R10</f>
        <v xml:space="preserve"> </v>
      </c>
      <c r="S67" s="25">
        <f>STT!S10</f>
        <v>0</v>
      </c>
      <c r="T67" s="36" t="str">
        <f>STT!T10</f>
        <v xml:space="preserve"> </v>
      </c>
      <c r="U67" s="31" t="str">
        <f>STT!U10</f>
        <v xml:space="preserve"> </v>
      </c>
    </row>
    <row r="68" spans="1:21">
      <c r="A68" s="143" t="str">
        <f>LNOP!A152</f>
        <v>Samyang</v>
      </c>
      <c r="B68" s="11" t="str">
        <f>LNOP!B152</f>
        <v>24/1.4 AS UMC</v>
      </c>
      <c r="C68" s="16">
        <f>LNOP!C152</f>
        <v>24</v>
      </c>
      <c r="D68" s="18">
        <f>LNOP!D152</f>
        <v>1.4</v>
      </c>
      <c r="E68" s="31">
        <f>LNOP!E152</f>
        <v>38.400000000000006</v>
      </c>
      <c r="F68" s="16" t="str">
        <f>LNOP!F152</f>
        <v>EFx</v>
      </c>
      <c r="G68" s="58">
        <f>LNOP!G152</f>
        <v>0.25</v>
      </c>
      <c r="H68" s="53" t="str">
        <f>LNOP!H152</f>
        <v xml:space="preserve"> </v>
      </c>
      <c r="I68" s="16">
        <f>LNOP!I152</f>
        <v>97.5</v>
      </c>
      <c r="J68" s="16">
        <f>LNOP!J152</f>
        <v>83</v>
      </c>
      <c r="K68" s="18">
        <f>LNOP!K152</f>
        <v>77</v>
      </c>
      <c r="L68" s="25">
        <f>LNOP!L152</f>
        <v>374.25</v>
      </c>
      <c r="M68" s="36" t="str">
        <f>LNOP!M152</f>
        <v>.16-04</v>
      </c>
      <c r="N68" s="25">
        <f>LNOP!N152</f>
        <v>413.125</v>
      </c>
      <c r="O68" s="73" t="str">
        <f>LNOP!O152</f>
        <v>.16-04</v>
      </c>
      <c r="P68" s="25" t="str">
        <f>LNOP!P152</f>
        <v xml:space="preserve"> </v>
      </c>
      <c r="Q68" s="36" t="str">
        <f>LNOP!Q152</f>
        <v xml:space="preserve"> </v>
      </c>
      <c r="R68" s="31" t="str">
        <f>LNOP!R152</f>
        <v xml:space="preserve"> </v>
      </c>
      <c r="S68" s="25">
        <f>LNOP!S152</f>
        <v>468</v>
      </c>
      <c r="T68" s="36" t="str">
        <f>LNOP!T152</f>
        <v>.14-08</v>
      </c>
      <c r="U68" s="31" t="str">
        <f>LNOP!U152</f>
        <v>keh</v>
      </c>
    </row>
    <row r="69" spans="1:21">
      <c r="A69" s="143" t="str">
        <f>STT!A11</f>
        <v>Sigma</v>
      </c>
      <c r="B69" s="11" t="str">
        <f>STT!B11</f>
        <v>EX 24/1.8ASP DG DF rl</v>
      </c>
      <c r="C69" s="16">
        <f>STT!C11</f>
        <v>24</v>
      </c>
      <c r="D69" s="18">
        <f>STT!D11</f>
        <v>1.8</v>
      </c>
      <c r="E69" s="31">
        <f>STT!E11</f>
        <v>38.400000000000006</v>
      </c>
      <c r="F69" s="16" t="str">
        <f>STT!F11</f>
        <v>EF</v>
      </c>
      <c r="G69" s="58">
        <f>STT!G11</f>
        <v>0.18</v>
      </c>
      <c r="H69" s="53">
        <f>STT!H11</f>
        <v>0.48499999999999999</v>
      </c>
      <c r="I69" s="16">
        <f>STT!I11</f>
        <v>80</v>
      </c>
      <c r="J69" s="16">
        <f>STT!J11</f>
        <v>83</v>
      </c>
      <c r="K69" s="18">
        <f>STT!K11</f>
        <v>77</v>
      </c>
      <c r="L69" s="25">
        <f>STT!L11</f>
        <v>293.81818181818181</v>
      </c>
      <c r="M69" s="36" t="str">
        <f>STT!M11</f>
        <v>.15-11</v>
      </c>
      <c r="N69" s="25">
        <f>STT!N11</f>
        <v>366.25</v>
      </c>
      <c r="O69" s="73" t="str">
        <f>STT!O11</f>
        <v>.15-01</v>
      </c>
      <c r="P69" s="25">
        <f>STT!P11</f>
        <v>360</v>
      </c>
      <c r="Q69" s="36" t="str">
        <f>STT!Q11</f>
        <v>.15-04</v>
      </c>
      <c r="R69" s="31" t="str">
        <f>STT!R11</f>
        <v>ado</v>
      </c>
      <c r="S69" s="25">
        <f>STT!S11</f>
        <v>275</v>
      </c>
      <c r="T69" s="36" t="str">
        <f>STT!T11</f>
        <v>.13-07</v>
      </c>
      <c r="U69" s="31" t="str">
        <f>STT!U11</f>
        <v>keh</v>
      </c>
    </row>
    <row r="70" spans="1:21">
      <c r="A70" s="143" t="str">
        <f>LNOP!A74</f>
        <v>Olympus</v>
      </c>
      <c r="B70" s="11" t="str">
        <f>LNOP!B74</f>
        <v>Zuiko 24/2 Auto-W (fe)</v>
      </c>
      <c r="C70" s="16">
        <f>LNOP!C74</f>
        <v>24</v>
      </c>
      <c r="D70" s="18">
        <f>LNOP!D74</f>
        <v>2</v>
      </c>
      <c r="E70" s="31">
        <f>LNOP!E74</f>
        <v>38.4</v>
      </c>
      <c r="F70" s="16" t="str">
        <f>LNOP!F74</f>
        <v>OM</v>
      </c>
      <c r="G70" s="58">
        <f>LNOP!G74</f>
        <v>0.25</v>
      </c>
      <c r="H70" s="53">
        <f>LNOP!H74</f>
        <v>0.28000000000000003</v>
      </c>
      <c r="I70" s="16">
        <f>LNOP!I74</f>
        <v>48</v>
      </c>
      <c r="J70" s="16">
        <f>LNOP!J74</f>
        <v>60</v>
      </c>
      <c r="K70" s="18">
        <f>LNOP!K74</f>
        <v>55</v>
      </c>
      <c r="L70" s="25">
        <f>LNOP!L74</f>
        <v>316.8</v>
      </c>
      <c r="M70" s="36" t="str">
        <f>LNOP!M74</f>
        <v>.16-05</v>
      </c>
      <c r="N70" s="25">
        <f>LNOP!N74</f>
        <v>559.85714285714289</v>
      </c>
      <c r="O70" s="73" t="str">
        <f>LNOP!O74</f>
        <v>.16-04</v>
      </c>
      <c r="P70" s="25">
        <f>LNOP!P74</f>
        <v>400</v>
      </c>
      <c r="Q70" s="36" t="str">
        <f>LNOP!Q74</f>
        <v>.16-01</v>
      </c>
      <c r="R70" s="31" t="str">
        <f>LNOP!R74</f>
        <v>b&amp;h</v>
      </c>
      <c r="S70" s="25">
        <f>LNOP!S74</f>
        <v>345</v>
      </c>
      <c r="T70" s="36" t="str">
        <f>LNOP!T74</f>
        <v>.16-05</v>
      </c>
      <c r="U70" s="31" t="str">
        <f>LNOP!U74</f>
        <v>igor</v>
      </c>
    </row>
    <row r="71" spans="1:21">
      <c r="A71" s="143" t="str">
        <f>EFp!A13</f>
        <v>Canon</v>
      </c>
      <c r="B71" s="11" t="str">
        <f>EFp!B13</f>
        <v xml:space="preserve">EF 24/2.8 </v>
      </c>
      <c r="C71" s="16">
        <f>EFp!C13</f>
        <v>24</v>
      </c>
      <c r="D71" s="18">
        <f>EFp!D13</f>
        <v>2.8</v>
      </c>
      <c r="E71" s="31">
        <f>EFp!E13</f>
        <v>38.400000000000006</v>
      </c>
      <c r="F71" s="16" t="str">
        <f>EFp!F13</f>
        <v>EF</v>
      </c>
      <c r="G71" s="58">
        <f>EFp!G13</f>
        <v>0.25</v>
      </c>
      <c r="H71" s="53">
        <f>EFp!H13</f>
        <v>0.27</v>
      </c>
      <c r="I71" s="16">
        <f>EFp!I13</f>
        <v>48.5</v>
      </c>
      <c r="J71" s="16">
        <f>EFp!J13</f>
        <v>67.5</v>
      </c>
      <c r="K71" s="18">
        <f>EFp!K13</f>
        <v>58</v>
      </c>
      <c r="L71" s="25">
        <f>EFp!L13</f>
        <v>135.71428571428572</v>
      </c>
      <c r="M71" s="36" t="str">
        <f>EFp!M13</f>
        <v>.16-04</v>
      </c>
      <c r="N71" s="25">
        <f>EFp!N13</f>
        <v>217.5</v>
      </c>
      <c r="O71" s="73" t="str">
        <f>EFp!O13</f>
        <v>.16-05</v>
      </c>
      <c r="P71" s="25">
        <f>EFp!P13</f>
        <v>280</v>
      </c>
      <c r="Q71" s="36" t="str">
        <f>EFp!Q13</f>
        <v>.16-01</v>
      </c>
      <c r="R71" s="31" t="str">
        <f>EFp!R13</f>
        <v>keh</v>
      </c>
      <c r="S71" s="25">
        <f>EFp!S13</f>
        <v>300</v>
      </c>
      <c r="T71" s="36" t="str">
        <f>EFp!T13</f>
        <v>.16-01</v>
      </c>
      <c r="U71" s="31" t="str">
        <f>EFp!U13</f>
        <v>keh</v>
      </c>
    </row>
    <row r="72" spans="1:21">
      <c r="A72" s="143" t="str">
        <f>EFp!A14</f>
        <v>Canon</v>
      </c>
      <c r="B72" s="11" t="str">
        <f>EFp!B14</f>
        <v>EF 24/2.8 IS USM</v>
      </c>
      <c r="C72" s="16">
        <f>EFp!C14</f>
        <v>24</v>
      </c>
      <c r="D72" s="18">
        <f>EFp!D14</f>
        <v>2.8</v>
      </c>
      <c r="E72" s="31">
        <f>EFp!E14</f>
        <v>38.400000000000006</v>
      </c>
      <c r="F72" s="16" t="str">
        <f>EFp!F14</f>
        <v>EF</v>
      </c>
      <c r="G72" s="58">
        <f>EFp!G14</f>
        <v>0.2</v>
      </c>
      <c r="H72" s="53">
        <f>EFp!H14</f>
        <v>0.28100000000000003</v>
      </c>
      <c r="I72" s="16">
        <f>EFp!I14</f>
        <v>55.6</v>
      </c>
      <c r="J72" s="16">
        <f>EFp!J14</f>
        <v>68.3</v>
      </c>
      <c r="K72" s="18">
        <f>EFp!K14</f>
        <v>58</v>
      </c>
      <c r="L72" s="25">
        <f>EFp!L14</f>
        <v>364.85714285714283</v>
      </c>
      <c r="M72" s="36" t="str">
        <f>EFp!M14</f>
        <v>.16-05</v>
      </c>
      <c r="N72" s="25">
        <f>EFp!N14</f>
        <v>434</v>
      </c>
      <c r="O72" s="73" t="str">
        <f>EFp!O14</f>
        <v>.16-04</v>
      </c>
      <c r="P72" s="25">
        <f>EFp!P14</f>
        <v>410</v>
      </c>
      <c r="Q72" s="36" t="str">
        <f>EFp!Q14</f>
        <v>.16-01</v>
      </c>
      <c r="R72" s="31" t="str">
        <f>EFp!R14</f>
        <v>LA</v>
      </c>
      <c r="S72" s="25">
        <f>EFp!S14</f>
        <v>418</v>
      </c>
      <c r="T72" s="36" t="str">
        <f>EFp!T14</f>
        <v>.16-05</v>
      </c>
      <c r="U72" s="31" t="str">
        <f>EFp!U14</f>
        <v>d'town</v>
      </c>
    </row>
    <row r="73" spans="1:21">
      <c r="A73" s="143" t="str">
        <f>LNOP!A12</f>
        <v>Leica</v>
      </c>
      <c r="B73" s="11" t="str">
        <f>LNOP!B12</f>
        <v>Elmarit R 24/2.8</v>
      </c>
      <c r="C73" s="16">
        <f>LNOP!C12</f>
        <v>24</v>
      </c>
      <c r="D73" s="18">
        <f>LNOP!D12</f>
        <v>2.8</v>
      </c>
      <c r="E73" s="31">
        <f>LNOP!E12</f>
        <v>38.4</v>
      </c>
      <c r="F73" s="16" t="str">
        <f>LNOP!F12</f>
        <v>LR</v>
      </c>
      <c r="G73" s="58">
        <f>LNOP!G12</f>
        <v>0.3</v>
      </c>
      <c r="H73" s="53">
        <f>LNOP!H12</f>
        <v>0.4</v>
      </c>
      <c r="I73" s="16" t="str">
        <f>LNOP!I12</f>
        <v xml:space="preserve"> </v>
      </c>
      <c r="J73" s="16" t="str">
        <f>LNOP!J12</f>
        <v xml:space="preserve"> </v>
      </c>
      <c r="K73" s="18">
        <f>LNOP!K12</f>
        <v>60</v>
      </c>
      <c r="L73" s="25">
        <f>LNOP!L12</f>
        <v>423.5</v>
      </c>
      <c r="M73" s="36" t="str">
        <f>LNOP!M12</f>
        <v>.16-01</v>
      </c>
      <c r="N73" s="25">
        <f>LNOP!N12</f>
        <v>629.09090909090912</v>
      </c>
      <c r="O73" s="73" t="str">
        <f>LNOP!O12</f>
        <v>.16-05</v>
      </c>
      <c r="P73" s="25">
        <f>LNOP!P12</f>
        <v>600</v>
      </c>
      <c r="Q73" s="36" t="str">
        <f>LNOP!Q12</f>
        <v>.16-01</v>
      </c>
      <c r="R73" s="31" t="str">
        <f>LNOP!R12</f>
        <v>keh</v>
      </c>
      <c r="S73" s="25">
        <f>LNOP!S12</f>
        <v>1090</v>
      </c>
      <c r="T73" s="36" t="str">
        <f>LNOP!T12</f>
        <v>.16-01</v>
      </c>
      <c r="U73" s="31" t="str">
        <f>LNOP!U12</f>
        <v>L-shop</v>
      </c>
    </row>
    <row r="74" spans="1:21">
      <c r="A74" s="143" t="str">
        <f>LNOP!A75</f>
        <v>Olympus</v>
      </c>
      <c r="B74" s="11" t="str">
        <f>LNOP!B75</f>
        <v xml:space="preserve">Zuiko 24/2.8 H.Zuiko </v>
      </c>
      <c r="C74" s="16">
        <f>LNOP!C75</f>
        <v>24</v>
      </c>
      <c r="D74" s="18">
        <f>LNOP!D75</f>
        <v>2.8</v>
      </c>
      <c r="E74" s="31">
        <f>LNOP!E75</f>
        <v>38.4</v>
      </c>
      <c r="F74" s="16" t="str">
        <f>LNOP!F75</f>
        <v>OM</v>
      </c>
      <c r="G74" s="58">
        <f>LNOP!G75</f>
        <v>0.25</v>
      </c>
      <c r="H74" s="53">
        <f>LNOP!H75</f>
        <v>0.18</v>
      </c>
      <c r="I74" s="16">
        <f>LNOP!I75</f>
        <v>31</v>
      </c>
      <c r="J74" s="16">
        <f>LNOP!J75</f>
        <v>59</v>
      </c>
      <c r="K74" s="18">
        <f>LNOP!K75</f>
        <v>49</v>
      </c>
      <c r="L74" s="25">
        <f>LNOP!L75</f>
        <v>129.9</v>
      </c>
      <c r="M74" s="36" t="str">
        <f>LNOP!M75</f>
        <v>.16-05</v>
      </c>
      <c r="N74" s="25">
        <f>LNOP!N75</f>
        <v>188.25</v>
      </c>
      <c r="O74" s="73" t="str">
        <f>LNOP!O75</f>
        <v>.16-05</v>
      </c>
      <c r="P74" s="25">
        <f>LNOP!P75</f>
        <v>220</v>
      </c>
      <c r="Q74" s="36" t="str">
        <f>LNOP!Q75</f>
        <v>.16-01</v>
      </c>
      <c r="R74" s="31" t="str">
        <f>LNOP!R75</f>
        <v>b&amp;h</v>
      </c>
      <c r="S74" s="25">
        <f>LNOP!S75</f>
        <v>260</v>
      </c>
      <c r="T74" s="36" t="str">
        <f>LNOP!T75</f>
        <v>.15-11</v>
      </c>
      <c r="U74" s="31" t="str">
        <f>LNOP!U75</f>
        <v>b&amp;h</v>
      </c>
    </row>
    <row r="75" spans="1:21">
      <c r="A75" s="143" t="str">
        <f>LNOP!A162</f>
        <v>Fuji Photo</v>
      </c>
      <c r="B75" s="11" t="str">
        <f>LNOP!B162</f>
        <v>EBC Fujinon-SW 24/2.8</v>
      </c>
      <c r="C75" s="16">
        <f>LNOP!C162</f>
        <v>24</v>
      </c>
      <c r="D75" s="18">
        <f>LNOP!D162</f>
        <v>2.8</v>
      </c>
      <c r="E75" s="31">
        <f>LNOP!E162</f>
        <v>38.400000000000006</v>
      </c>
      <c r="F75" s="16" t="str">
        <f>LNOP!F162</f>
        <v>M42</v>
      </c>
      <c r="G75" s="58">
        <f>LNOP!G162</f>
        <v>0.3</v>
      </c>
      <c r="H75" s="53">
        <f>LNOP!H162</f>
        <v>0.17499999999999999</v>
      </c>
      <c r="I75" s="16" t="str">
        <f>LNOP!I162</f>
        <v xml:space="preserve"> </v>
      </c>
      <c r="J75" s="16" t="str">
        <f>LNOP!J162</f>
        <v xml:space="preserve"> </v>
      </c>
      <c r="K75" s="18">
        <f>LNOP!K162</f>
        <v>49</v>
      </c>
      <c r="L75" s="25">
        <f>LNOP!L162</f>
        <v>159</v>
      </c>
      <c r="M75" s="36" t="str">
        <f>LNOP!M162</f>
        <v>.15-12</v>
      </c>
      <c r="N75" s="25">
        <f>LNOP!N162</f>
        <v>0</v>
      </c>
      <c r="O75" s="73" t="str">
        <f>LNOP!O162</f>
        <v xml:space="preserve"> </v>
      </c>
      <c r="P75" s="25" t="str">
        <f>LNOP!P162</f>
        <v xml:space="preserve"> </v>
      </c>
      <c r="Q75" s="36" t="str">
        <f>LNOP!Q162</f>
        <v xml:space="preserve"> </v>
      </c>
      <c r="R75" s="31" t="str">
        <f>LNOP!R162</f>
        <v xml:space="preserve"> </v>
      </c>
      <c r="S75" s="25" t="str">
        <f>LNOP!S162</f>
        <v xml:space="preserve"> </v>
      </c>
      <c r="T75" s="36" t="str">
        <f>LNOP!T162</f>
        <v xml:space="preserve"> </v>
      </c>
      <c r="U75" s="31" t="str">
        <f>LNOP!U162</f>
        <v xml:space="preserve"> </v>
      </c>
    </row>
    <row r="76" spans="1:21">
      <c r="A76" s="143" t="str">
        <f>EFp!A15</f>
        <v>Canon</v>
      </c>
      <c r="B76" s="11" t="str">
        <f>EFp!B15</f>
        <v xml:space="preserve">TS-E 24/3.5 L </v>
      </c>
      <c r="C76" s="16">
        <f>EFp!C15</f>
        <v>24</v>
      </c>
      <c r="D76" s="18">
        <f>EFp!D15</f>
        <v>3.5</v>
      </c>
      <c r="E76" s="31">
        <f>EFp!E15</f>
        <v>38.400000000000006</v>
      </c>
      <c r="F76" s="16" t="str">
        <f>EFp!F15</f>
        <v>EFm</v>
      </c>
      <c r="G76" s="58">
        <f>EFp!G15</f>
        <v>0.3</v>
      </c>
      <c r="H76" s="53">
        <f>EFp!H15</f>
        <v>0.56999999999999995</v>
      </c>
      <c r="I76" s="16">
        <f>EFp!I15</f>
        <v>86.7</v>
      </c>
      <c r="J76" s="16">
        <f>EFp!J15</f>
        <v>78</v>
      </c>
      <c r="K76" s="18">
        <f>EFp!K15</f>
        <v>72</v>
      </c>
      <c r="L76" s="25">
        <f>EFp!L15</f>
        <v>626.09090909090912</v>
      </c>
      <c r="M76" s="36" t="str">
        <f>EFp!M15</f>
        <v>.16-05</v>
      </c>
      <c r="N76" s="25">
        <f>EFp!N15</f>
        <v>848.125</v>
      </c>
      <c r="O76" s="73" t="str">
        <f>EFp!O15</f>
        <v>.16-04</v>
      </c>
      <c r="P76" s="25">
        <f>EFp!P15</f>
        <v>900</v>
      </c>
      <c r="Q76" s="36" t="str">
        <f>EFp!Q15</f>
        <v>.16-01</v>
      </c>
      <c r="R76" s="31" t="str">
        <f>EFp!R15</f>
        <v>b&amp;h</v>
      </c>
      <c r="S76" s="25">
        <f>EFp!S15</f>
        <v>1050</v>
      </c>
      <c r="T76" s="36" t="str">
        <f>EFp!T15</f>
        <v>.15-04</v>
      </c>
      <c r="U76" s="31" t="str">
        <f>EFp!U15</f>
        <v>ado</v>
      </c>
    </row>
    <row r="77" spans="1:21">
      <c r="A77" s="143" t="str">
        <f>EFp!A16</f>
        <v>Canon</v>
      </c>
      <c r="B77" s="11" t="str">
        <f>EFp!B16</f>
        <v xml:space="preserve">TS-E 24/3.5 L II </v>
      </c>
      <c r="C77" s="16">
        <f>EFp!C16</f>
        <v>24</v>
      </c>
      <c r="D77" s="18">
        <f>EFp!D16</f>
        <v>3.5</v>
      </c>
      <c r="E77" s="31">
        <f>EFp!E16</f>
        <v>38.400000000000006</v>
      </c>
      <c r="F77" s="16" t="str">
        <f>EFp!F16</f>
        <v>EFm</v>
      </c>
      <c r="G77" s="58">
        <f>EFp!G16</f>
        <v>0.21</v>
      </c>
      <c r="H77" s="53">
        <f>EFp!H16</f>
        <v>0.78</v>
      </c>
      <c r="I77" s="16">
        <f>EFp!I16</f>
        <v>106.9</v>
      </c>
      <c r="J77" s="16">
        <f>EFp!J16</f>
        <v>88.5</v>
      </c>
      <c r="K77" s="18">
        <f>EFp!K16</f>
        <v>82</v>
      </c>
      <c r="L77" s="25">
        <f>EFp!L16</f>
        <v>1302.909090909091</v>
      </c>
      <c r="M77" s="36" t="str">
        <f>EFp!M16</f>
        <v>.16-05</v>
      </c>
      <c r="N77" s="25">
        <f>EFp!N16</f>
        <v>1603</v>
      </c>
      <c r="O77" s="73" t="str">
        <f>EFp!O16</f>
        <v>.16-05</v>
      </c>
      <c r="P77" s="25">
        <f>EFp!P16</f>
        <v>1440</v>
      </c>
      <c r="Q77" s="36" t="str">
        <f>EFp!Q16</f>
        <v>.16-01</v>
      </c>
      <c r="R77" s="31" t="str">
        <f>EFp!R16</f>
        <v>LA</v>
      </c>
      <c r="S77" s="25">
        <f>EFp!S16</f>
        <v>1742</v>
      </c>
      <c r="T77" s="36" t="str">
        <f>EFp!T16</f>
        <v>.16-01</v>
      </c>
      <c r="U77" s="31" t="str">
        <f>EFp!U16</f>
        <v>keh</v>
      </c>
    </row>
    <row r="78" spans="1:21">
      <c r="A78" s="143" t="str">
        <f>LNOP!A76</f>
        <v>Olympus</v>
      </c>
      <c r="B78" s="11" t="str">
        <f>LNOP!B76</f>
        <v>Zuiko 24/3.5 Shift</v>
      </c>
      <c r="C78" s="16">
        <f>LNOP!C76</f>
        <v>24</v>
      </c>
      <c r="D78" s="18">
        <f>LNOP!D76</f>
        <v>3.5</v>
      </c>
      <c r="E78" s="31">
        <f>LNOP!E76</f>
        <v>38.4</v>
      </c>
      <c r="F78" s="16" t="str">
        <f>LNOP!F76</f>
        <v>OM</v>
      </c>
      <c r="G78" s="58">
        <f>LNOP!G76</f>
        <v>0.35</v>
      </c>
      <c r="H78" s="53">
        <f>LNOP!H76</f>
        <v>0.51</v>
      </c>
      <c r="I78" s="16">
        <f>LNOP!I76</f>
        <v>75</v>
      </c>
      <c r="J78" s="16">
        <f>LNOP!J76</f>
        <v>84</v>
      </c>
      <c r="K78" s="18" t="str">
        <f>LNOP!K76</f>
        <v>bi</v>
      </c>
      <c r="L78" s="25">
        <f>LNOP!L76</f>
        <v>717.4</v>
      </c>
      <c r="M78" s="36" t="str">
        <f>LNOP!M76</f>
        <v>.16-04</v>
      </c>
      <c r="N78" s="25">
        <f>LNOP!N76</f>
        <v>1023.6</v>
      </c>
      <c r="O78" s="73" t="str">
        <f>LNOP!O76</f>
        <v>.16-05</v>
      </c>
      <c r="P78" s="25">
        <f>LNOP!P76</f>
        <v>1080</v>
      </c>
      <c r="Q78" s="36" t="str">
        <f>LNOP!Q76</f>
        <v>.15-04</v>
      </c>
      <c r="R78" s="31" t="str">
        <f>LNOP!R76</f>
        <v>keh</v>
      </c>
      <c r="S78" s="25">
        <f>LNOP!S76</f>
        <v>2800</v>
      </c>
      <c r="T78" s="36" t="str">
        <f>LNOP!T76</f>
        <v>.14-08</v>
      </c>
      <c r="U78" s="31" t="str">
        <f>LNOP!U76</f>
        <v>kevin</v>
      </c>
    </row>
    <row r="79" spans="1:21">
      <c r="A79" s="143" t="str">
        <f>LNOP!A153</f>
        <v>Samyang</v>
      </c>
      <c r="B79" s="11" t="str">
        <f>LNOP!B153</f>
        <v>24/3.5 ED AS UMC T-S</v>
      </c>
      <c r="C79" s="16">
        <f>LNOP!C153</f>
        <v>24</v>
      </c>
      <c r="D79" s="18">
        <f>LNOP!D153</f>
        <v>3.5</v>
      </c>
      <c r="E79" s="31">
        <f>LNOP!E153</f>
        <v>38.400000000000006</v>
      </c>
      <c r="F79" s="16" t="str">
        <f>LNOP!F153</f>
        <v>EFx</v>
      </c>
      <c r="G79" s="58">
        <f>LNOP!G153</f>
        <v>0.2</v>
      </c>
      <c r="H79" s="53">
        <f>LNOP!H153</f>
        <v>0.68</v>
      </c>
      <c r="I79" s="16">
        <f>LNOP!I153</f>
        <v>113</v>
      </c>
      <c r="J79" s="16">
        <f>LNOP!J153</f>
        <v>44.5</v>
      </c>
      <c r="K79" s="18">
        <f>LNOP!K153</f>
        <v>82</v>
      </c>
      <c r="L79" s="25">
        <f>LNOP!L153</f>
        <v>524.42857142857144</v>
      </c>
      <c r="M79" s="36" t="str">
        <f>LNOP!M153</f>
        <v>.16-01</v>
      </c>
      <c r="N79" s="25">
        <f>LNOP!N153</f>
        <v>690.16666666666663</v>
      </c>
      <c r="O79" s="73" t="str">
        <f>LNOP!O153</f>
        <v>.16-05</v>
      </c>
      <c r="P79" s="25">
        <f>LNOP!P153</f>
        <v>570</v>
      </c>
      <c r="Q79" s="36" t="str">
        <f>LNOP!Q153</f>
        <v>.16-01</v>
      </c>
      <c r="R79" s="31" t="str">
        <f>LNOP!R153</f>
        <v>LA</v>
      </c>
      <c r="S79" s="25" t="str">
        <f>LNOP!S153</f>
        <v xml:space="preserve"> </v>
      </c>
      <c r="T79" s="36" t="str">
        <f>LNOP!T153</f>
        <v xml:space="preserve"> </v>
      </c>
      <c r="U79" s="31" t="str">
        <f>LNOP!U153</f>
        <v xml:space="preserve"> </v>
      </c>
    </row>
    <row r="80" spans="1:21">
      <c r="A80" s="144" t="str">
        <f>'645'!A7</f>
        <v>Mamiya</v>
      </c>
      <c r="B80" s="22" t="str">
        <f>'645'!B7</f>
        <v>Mamiya-Sekor C 24/4 ULD FE</v>
      </c>
      <c r="C80" s="27">
        <f>'645'!C7</f>
        <v>24</v>
      </c>
      <c r="D80" s="41" t="str">
        <f>'645'!D7</f>
        <v>4</v>
      </c>
      <c r="E80" s="33">
        <f>'645'!E7</f>
        <v>38.400000000000006</v>
      </c>
      <c r="F80" s="27" t="str">
        <f>'645'!F7</f>
        <v>M645</v>
      </c>
      <c r="G80" s="55">
        <f>'645'!G7</f>
        <v>0.3</v>
      </c>
      <c r="H80" s="56">
        <f>'645'!H7</f>
        <v>0.78500000000000003</v>
      </c>
      <c r="I80" s="27">
        <f>'645'!I7</f>
        <v>82</v>
      </c>
      <c r="J80" s="27">
        <f>'645'!J7</f>
        <v>100</v>
      </c>
      <c r="K80" s="41" t="str">
        <f>'645'!K7</f>
        <v>b.i.</v>
      </c>
      <c r="L80" s="26">
        <f>'645'!L7</f>
        <v>647.66666666666663</v>
      </c>
      <c r="M80" s="24" t="str">
        <f>'645'!M7</f>
        <v>.16-05</v>
      </c>
      <c r="N80" s="26">
        <f>'645'!N7</f>
        <v>950</v>
      </c>
      <c r="O80" s="124" t="str">
        <f>'645'!O7</f>
        <v>.15-04</v>
      </c>
      <c r="P80" s="26">
        <f>'645'!P7</f>
        <v>1169</v>
      </c>
      <c r="Q80" s="24" t="str">
        <f>'645'!Q7</f>
        <v>.15-04</v>
      </c>
      <c r="R80" s="33" t="str">
        <f>'645'!R7</f>
        <v>keh</v>
      </c>
      <c r="S80" s="26">
        <f>'645'!S7</f>
        <v>1480</v>
      </c>
      <c r="T80" s="24" t="str">
        <f>'645'!T7</f>
        <v>.14-01</v>
      </c>
      <c r="U80" s="33" t="str">
        <f>'645'!U7</f>
        <v>keh</v>
      </c>
    </row>
    <row r="81" spans="1:21">
      <c r="A81" s="143" t="str">
        <f>CZ.V!A21</f>
        <v>Carl Zeiss</v>
      </c>
      <c r="B81" s="11" t="str">
        <f>CZ.V!B21</f>
        <v>Distagon T* 25/2 ZE</v>
      </c>
      <c r="C81" s="16">
        <f>CZ.V!C21</f>
        <v>25</v>
      </c>
      <c r="D81" s="18">
        <f>CZ.V!D21</f>
        <v>2</v>
      </c>
      <c r="E81" s="31">
        <f>CZ.V!E21</f>
        <v>40</v>
      </c>
      <c r="F81" s="16" t="str">
        <f>CZ.V!F21</f>
        <v>ZE</v>
      </c>
      <c r="G81" s="58">
        <f>CZ.V!G21</f>
        <v>0.25</v>
      </c>
      <c r="H81" s="53">
        <f>CZ.V!H21</f>
        <v>0.6</v>
      </c>
      <c r="I81" s="16">
        <f>CZ.V!I21</f>
        <v>74</v>
      </c>
      <c r="J81" s="16">
        <f>CZ.V!J21</f>
        <v>73</v>
      </c>
      <c r="K81" s="18">
        <f>CZ.V!K21</f>
        <v>67</v>
      </c>
      <c r="L81" s="25">
        <f>CZ.V!L21</f>
        <v>874.90909090909088</v>
      </c>
      <c r="M81" s="36" t="str">
        <f>CZ.V!M21</f>
        <v>.16-05</v>
      </c>
      <c r="N81" s="25">
        <f>CZ.V!N21</f>
        <v>1129.5999999999999</v>
      </c>
      <c r="O81" s="73" t="str">
        <f>CZ.V!O21</f>
        <v>.16-05</v>
      </c>
      <c r="P81" s="25">
        <f>CZ.V!P21</f>
        <v>875</v>
      </c>
      <c r="Q81" s="36" t="str">
        <f>CZ.V!Q21</f>
        <v>.16-03</v>
      </c>
      <c r="R81" s="31" t="str">
        <f>CZ.V!R21</f>
        <v>LA</v>
      </c>
      <c r="S81" s="25">
        <f>CZ.V!S21</f>
        <v>1250</v>
      </c>
      <c r="T81" s="36" t="str">
        <f>CZ.V!T21</f>
        <v>.16-01</v>
      </c>
      <c r="U81" s="31" t="str">
        <f>CZ.V!U21</f>
        <v>b&amp;h</v>
      </c>
    </row>
    <row r="82" spans="1:21">
      <c r="A82" s="144" t="str">
        <f>CZ.V!A35</f>
        <v>Carl Zeiss</v>
      </c>
      <c r="B82" s="22" t="str">
        <f>CZ.V!B35</f>
        <v>Distagon T* 25/2.8 CY</v>
      </c>
      <c r="C82" s="27">
        <f>CZ.V!C35</f>
        <v>25</v>
      </c>
      <c r="D82" s="41">
        <f>CZ.V!D35</f>
        <v>2.8</v>
      </c>
      <c r="E82" s="33">
        <f>CZ.V!E35</f>
        <v>40</v>
      </c>
      <c r="F82" s="27" t="str">
        <f>CZ.V!F35</f>
        <v>CY</v>
      </c>
      <c r="G82" s="55">
        <f>CZ.V!G35</f>
        <v>0.25</v>
      </c>
      <c r="H82" s="56">
        <f>CZ.V!H35</f>
        <v>0.36</v>
      </c>
      <c r="I82" s="27">
        <f>CZ.V!I35</f>
        <v>56</v>
      </c>
      <c r="J82" s="27">
        <f>CZ.V!J35</f>
        <v>62.5</v>
      </c>
      <c r="K82" s="41">
        <f>CZ.V!K35</f>
        <v>55</v>
      </c>
      <c r="L82" s="26">
        <f>CZ.V!L35</f>
        <v>321.60000000000002</v>
      </c>
      <c r="M82" s="24" t="str">
        <f>CZ.V!M35</f>
        <v>.16-05</v>
      </c>
      <c r="N82" s="26">
        <f>CZ.V!N35</f>
        <v>423.1</v>
      </c>
      <c r="O82" s="124" t="str">
        <f>CZ.V!O35</f>
        <v>.16-05</v>
      </c>
      <c r="P82" s="26">
        <f>CZ.V!P35</f>
        <v>380</v>
      </c>
      <c r="Q82" s="24" t="str">
        <f>CZ.V!Q35</f>
        <v>.16-01</v>
      </c>
      <c r="R82" s="33" t="str">
        <f>CZ.V!R35</f>
        <v>b&amp;h</v>
      </c>
      <c r="S82" s="26">
        <f>CZ.V!S35</f>
        <v>517</v>
      </c>
      <c r="T82" s="24" t="str">
        <f>CZ.V!T35</f>
        <v>.15-11</v>
      </c>
      <c r="U82" s="33" t="str">
        <f>CZ.V!U35</f>
        <v>keh</v>
      </c>
    </row>
    <row r="83" spans="1:21">
      <c r="A83" s="143" t="str">
        <f>CZ.V!A14</f>
        <v>Carl Zeiss</v>
      </c>
      <c r="B83" s="11" t="str">
        <f>CZ.V!B14</f>
        <v>Otus 28/1.4 ZE</v>
      </c>
      <c r="C83" s="16">
        <f>CZ.V!C14</f>
        <v>28</v>
      </c>
      <c r="D83" s="18">
        <f>CZ.V!D14</f>
        <v>1.4</v>
      </c>
      <c r="E83" s="31">
        <f>CZ.V!E14</f>
        <v>44.800000000000004</v>
      </c>
      <c r="F83" s="16" t="str">
        <f>CZ.V!F14</f>
        <v>ZE</v>
      </c>
      <c r="G83" s="58">
        <f>CZ.V!G14</f>
        <v>0.3</v>
      </c>
      <c r="H83" s="53">
        <f>CZ.V!H14</f>
        <v>1.39</v>
      </c>
      <c r="I83" s="16">
        <f>CZ.V!I14</f>
        <v>137</v>
      </c>
      <c r="J83" s="16">
        <f>CZ.V!J14</f>
        <v>108.9</v>
      </c>
      <c r="K83" s="18">
        <f>CZ.V!K14</f>
        <v>95</v>
      </c>
      <c r="L83" s="25">
        <f>CZ.V!L14</f>
        <v>2850</v>
      </c>
      <c r="M83" s="36" t="str">
        <f>CZ.V!M14</f>
        <v>.16-05</v>
      </c>
      <c r="N83" s="25">
        <f>CZ.V!N14</f>
        <v>4024.3333333333335</v>
      </c>
      <c r="O83" s="73" t="str">
        <f>CZ.V!O14</f>
        <v>.16-05</v>
      </c>
      <c r="P83" s="25" t="str">
        <f>CZ.V!P14</f>
        <v xml:space="preserve"> </v>
      </c>
      <c r="Q83" s="36" t="str">
        <f>CZ.V!Q14</f>
        <v xml:space="preserve"> </v>
      </c>
      <c r="R83" s="31" t="str">
        <f>CZ.V!R14</f>
        <v xml:space="preserve"> </v>
      </c>
      <c r="S83" s="25" t="str">
        <f>CZ.V!S14</f>
        <v xml:space="preserve"> </v>
      </c>
      <c r="T83" s="36" t="str">
        <f>CZ.V!T14</f>
        <v xml:space="preserve"> </v>
      </c>
      <c r="U83" s="31" t="str">
        <f>CZ.V!U14</f>
        <v xml:space="preserve"> </v>
      </c>
    </row>
    <row r="84" spans="1:21">
      <c r="A84" s="143" t="str">
        <f>EFp!A17</f>
        <v>Canon</v>
      </c>
      <c r="B84" s="11" t="str">
        <f>EFp!B17</f>
        <v xml:space="preserve">EF 28/1.8 USM </v>
      </c>
      <c r="C84" s="16">
        <f>EFp!C17</f>
        <v>28</v>
      </c>
      <c r="D84" s="18">
        <f>EFp!D17</f>
        <v>1.8</v>
      </c>
      <c r="E84" s="31">
        <f>EFp!E17</f>
        <v>44.800000000000004</v>
      </c>
      <c r="F84" s="16" t="str">
        <f>EFp!F17</f>
        <v>EF</v>
      </c>
      <c r="G84" s="58">
        <f>EFp!G17</f>
        <v>0.25</v>
      </c>
      <c r="H84" s="53">
        <f>EFp!H17</f>
        <v>0.31</v>
      </c>
      <c r="I84" s="16">
        <f>EFp!I17</f>
        <v>55.6</v>
      </c>
      <c r="J84" s="16">
        <f>EFp!J17</f>
        <v>73.599999999999994</v>
      </c>
      <c r="K84" s="18">
        <f>EFp!K17</f>
        <v>58</v>
      </c>
      <c r="L84" s="25">
        <f>EFp!L17</f>
        <v>244.25</v>
      </c>
      <c r="M84" s="36" t="str">
        <f>EFp!M17</f>
        <v>.16-05</v>
      </c>
      <c r="N84" s="25">
        <f>EFp!N17</f>
        <v>331.85714285714283</v>
      </c>
      <c r="O84" s="73" t="str">
        <f>EFp!O17</f>
        <v>.16-05</v>
      </c>
      <c r="P84" s="25">
        <f>EFp!P17</f>
        <v>390</v>
      </c>
      <c r="Q84" s="36" t="str">
        <f>EFp!Q17</f>
        <v>.16-01</v>
      </c>
      <c r="R84" s="31" t="str">
        <f>EFp!R17</f>
        <v>ado</v>
      </c>
      <c r="S84" s="25">
        <f>EFp!S17</f>
        <v>390</v>
      </c>
      <c r="T84" s="36" t="str">
        <f>EFp!T17</f>
        <v>.16-01</v>
      </c>
      <c r="U84" s="31" t="str">
        <f>EFp!U17</f>
        <v>ado</v>
      </c>
    </row>
    <row r="85" spans="1:21">
      <c r="A85" s="143" t="str">
        <f>STT!A12</f>
        <v>Sigma</v>
      </c>
      <c r="B85" s="11" t="str">
        <f>STT!B12</f>
        <v>EX 28/1.8</v>
      </c>
      <c r="C85" s="16">
        <f>STT!C12</f>
        <v>28</v>
      </c>
      <c r="D85" s="18">
        <f>STT!D12</f>
        <v>1.8</v>
      </c>
      <c r="E85" s="31">
        <f>STT!E12</f>
        <v>44.800000000000004</v>
      </c>
      <c r="F85" s="16" t="str">
        <f>STT!F12</f>
        <v>EF</v>
      </c>
      <c r="G85" s="58">
        <f>STT!G12</f>
        <v>0.3</v>
      </c>
      <c r="H85" s="53">
        <f>STT!H12</f>
        <v>0.28999999999999998</v>
      </c>
      <c r="I85" s="16">
        <f>STT!I12</f>
        <v>62</v>
      </c>
      <c r="J85" s="16">
        <f>STT!J12</f>
        <v>69</v>
      </c>
      <c r="K85" s="18">
        <f>STT!K12</f>
        <v>58</v>
      </c>
      <c r="L85" s="25">
        <f>STT!L12</f>
        <v>177.88888888888889</v>
      </c>
      <c r="M85" s="36" t="str">
        <f>STT!M12</f>
        <v>.15-07</v>
      </c>
      <c r="N85" s="25">
        <f>STT!N12</f>
        <v>313</v>
      </c>
      <c r="O85" s="73" t="str">
        <f>STT!O12</f>
        <v>.15-03</v>
      </c>
      <c r="P85" s="25">
        <f>STT!P12</f>
        <v>275</v>
      </c>
      <c r="Q85" s="36" t="str">
        <f>STT!Q12</f>
        <v>.14-01</v>
      </c>
      <c r="R85" s="31" t="str">
        <f>STT!R12</f>
        <v>keh</v>
      </c>
      <c r="S85" s="25">
        <f>STT!S12</f>
        <v>450</v>
      </c>
      <c r="T85" s="36" t="str">
        <f>STT!T12</f>
        <v>.14-03</v>
      </c>
      <c r="U85" s="31" t="str">
        <f>STT!U12</f>
        <v>ado</v>
      </c>
    </row>
    <row r="86" spans="1:21">
      <c r="A86" s="143" t="str">
        <f>CZ.V!A22</f>
        <v>Carl Zeiss</v>
      </c>
      <c r="B86" s="11" t="str">
        <f>CZ.V!B22</f>
        <v>Distagon T* 28/2 ZE</v>
      </c>
      <c r="C86" s="16">
        <f>CZ.V!C22</f>
        <v>28</v>
      </c>
      <c r="D86" s="18">
        <f>CZ.V!D22</f>
        <v>2</v>
      </c>
      <c r="E86" s="31">
        <f>CZ.V!E22</f>
        <v>44.800000000000004</v>
      </c>
      <c r="F86" s="16" t="str">
        <f>CZ.V!F22</f>
        <v>ZE</v>
      </c>
      <c r="G86" s="58">
        <f>CZ.V!G22</f>
        <v>0.24</v>
      </c>
      <c r="H86" s="53">
        <f>CZ.V!H22</f>
        <v>0.57999999999999996</v>
      </c>
      <c r="I86" s="16">
        <f>CZ.V!I22</f>
        <v>72</v>
      </c>
      <c r="J86" s="16">
        <f>CZ.V!J22</f>
        <v>64</v>
      </c>
      <c r="K86" s="18">
        <f>CZ.V!K22</f>
        <v>58</v>
      </c>
      <c r="L86" s="25">
        <f>CZ.V!L22</f>
        <v>620.16666666666663</v>
      </c>
      <c r="M86" s="36" t="str">
        <f>CZ.V!M22</f>
        <v>.16-05</v>
      </c>
      <c r="N86" s="25">
        <f>CZ.V!N22</f>
        <v>917.75</v>
      </c>
      <c r="O86" s="73" t="str">
        <f>CZ.V!O22</f>
        <v>.16-04</v>
      </c>
      <c r="P86" s="25">
        <f>CZ.V!P22</f>
        <v>770</v>
      </c>
      <c r="Q86" s="36" t="str">
        <f>CZ.V!Q22</f>
        <v>.16-03</v>
      </c>
      <c r="R86" s="31" t="str">
        <f>CZ.V!R22</f>
        <v>LA</v>
      </c>
      <c r="S86" s="25">
        <f>CZ.V!S22</f>
        <v>880</v>
      </c>
      <c r="T86" s="36" t="str">
        <f>CZ.V!T22</f>
        <v>.16-05</v>
      </c>
      <c r="U86" s="31" t="str">
        <f>CZ.V!U22</f>
        <v>keh</v>
      </c>
    </row>
    <row r="87" spans="1:21">
      <c r="A87" s="143" t="str">
        <f>CZ.V!A36</f>
        <v>Carl Zeiss</v>
      </c>
      <c r="B87" s="11" t="str">
        <f>CZ.V!B36</f>
        <v>Distagon T* 28/2 CY</v>
      </c>
      <c r="C87" s="16">
        <f>CZ.V!C36</f>
        <v>28</v>
      </c>
      <c r="D87" s="18">
        <f>CZ.V!D36</f>
        <v>2</v>
      </c>
      <c r="E87" s="31">
        <f>CZ.V!E36</f>
        <v>44.800000000000004</v>
      </c>
      <c r="F87" s="16" t="str">
        <f>CZ.V!F36</f>
        <v>CY</v>
      </c>
      <c r="G87" s="58">
        <f>CZ.V!G36</f>
        <v>0.24</v>
      </c>
      <c r="H87" s="53">
        <f>CZ.V!H36</f>
        <v>0.53</v>
      </c>
      <c r="I87" s="16">
        <f>CZ.V!I36</f>
        <v>76</v>
      </c>
      <c r="J87" s="16">
        <f>CZ.V!J36</f>
        <v>62.5</v>
      </c>
      <c r="K87" s="18">
        <f>CZ.V!K36</f>
        <v>55</v>
      </c>
      <c r="L87" s="25">
        <f>CZ.V!L36</f>
        <v>810.8</v>
      </c>
      <c r="M87" s="36" t="str">
        <f>CZ.V!M36</f>
        <v>.16-05</v>
      </c>
      <c r="N87" s="25">
        <f>CZ.V!N36</f>
        <v>1125.4615384615386</v>
      </c>
      <c r="O87" s="73" t="str">
        <f>CZ.V!O36</f>
        <v>.16-05</v>
      </c>
      <c r="P87" s="25">
        <f>CZ.V!P36</f>
        <v>850</v>
      </c>
      <c r="Q87" s="36" t="str">
        <f>CZ.V!Q36</f>
        <v>.16-05</v>
      </c>
      <c r="R87" s="31" t="str">
        <f>CZ.V!R36</f>
        <v>keh</v>
      </c>
      <c r="S87" s="25">
        <f>CZ.V!S36</f>
        <v>1120</v>
      </c>
      <c r="T87" s="36" t="str">
        <f>CZ.V!T36</f>
        <v>.16-05</v>
      </c>
      <c r="U87" s="31" t="str">
        <f>CZ.V!U36</f>
        <v>keh</v>
      </c>
    </row>
    <row r="88" spans="1:21">
      <c r="A88" s="143" t="str">
        <f>LNOP!A118</f>
        <v>Pentax</v>
      </c>
      <c r="B88" s="11" t="str">
        <f>LNOP!B118</f>
        <v>SMC Pentax 28/2</v>
      </c>
      <c r="C88" s="16">
        <f>LNOP!C118</f>
        <v>28</v>
      </c>
      <c r="D88" s="18">
        <f>LNOP!D118</f>
        <v>2</v>
      </c>
      <c r="E88" s="31">
        <f>LNOP!E118</f>
        <v>32</v>
      </c>
      <c r="F88" s="16" t="str">
        <f>LNOP!F118</f>
        <v>K</v>
      </c>
      <c r="G88" s="58">
        <f>LNOP!G118</f>
        <v>0.25</v>
      </c>
      <c r="H88" s="53">
        <f>LNOP!H118</f>
        <v>0.42299999999999999</v>
      </c>
      <c r="I88" s="16">
        <f>LNOP!I118</f>
        <v>62.5</v>
      </c>
      <c r="J88" s="16">
        <f>LNOP!J118</f>
        <v>69</v>
      </c>
      <c r="K88" s="18">
        <f>LNOP!K118</f>
        <v>52</v>
      </c>
      <c r="L88" s="25">
        <f>LNOP!L118</f>
        <v>549.75</v>
      </c>
      <c r="M88" s="36" t="str">
        <f>LNOP!M118</f>
        <v>.16-01</v>
      </c>
      <c r="N88" s="25">
        <f>LNOP!N118</f>
        <v>838.8</v>
      </c>
      <c r="O88" s="73" t="str">
        <f>LNOP!O118</f>
        <v>.15-08</v>
      </c>
      <c r="P88" s="25">
        <f>LNOP!P118</f>
        <v>429</v>
      </c>
      <c r="Q88" s="36" t="str">
        <f>LNOP!Q118</f>
        <v>.14-03</v>
      </c>
      <c r="R88" s="31" t="str">
        <f>LNOP!R118</f>
        <v>keh</v>
      </c>
      <c r="S88" s="25" t="str">
        <f>LNOP!S118</f>
        <v xml:space="preserve"> </v>
      </c>
      <c r="T88" s="36" t="str">
        <f>LNOP!T118</f>
        <v xml:space="preserve"> </v>
      </c>
      <c r="U88" s="31" t="str">
        <f>LNOP!U118</f>
        <v xml:space="preserve"> </v>
      </c>
    </row>
    <row r="89" spans="1:21">
      <c r="A89" s="143" t="str">
        <f>LNOP!A119</f>
        <v>Pentax</v>
      </c>
      <c r="B89" s="11" t="str">
        <f>LNOP!B119</f>
        <v>SMC Pentax-M 28/2</v>
      </c>
      <c r="C89" s="16">
        <f>LNOP!C119</f>
        <v>28</v>
      </c>
      <c r="D89" s="18">
        <f>LNOP!D119</f>
        <v>2</v>
      </c>
      <c r="E89" s="31">
        <f>LNOP!E119</f>
        <v>32</v>
      </c>
      <c r="F89" s="16" t="str">
        <f>LNOP!F119</f>
        <v>K</v>
      </c>
      <c r="G89" s="58">
        <f>LNOP!G119</f>
        <v>0.3</v>
      </c>
      <c r="H89" s="53">
        <f>LNOP!H119</f>
        <v>0.215</v>
      </c>
      <c r="I89" s="16">
        <f>LNOP!I119</f>
        <v>42</v>
      </c>
      <c r="J89" s="16">
        <f>LNOP!J119</f>
        <v>63</v>
      </c>
      <c r="K89" s="18">
        <f>LNOP!K119</f>
        <v>49</v>
      </c>
      <c r="L89" s="25">
        <f>LNOP!L119</f>
        <v>318</v>
      </c>
      <c r="M89" s="36" t="str">
        <f>LNOP!M119</f>
        <v>.15-11</v>
      </c>
      <c r="N89" s="25">
        <f>LNOP!N119</f>
        <v>338.8</v>
      </c>
      <c r="O89" s="73" t="str">
        <f>LNOP!O119</f>
        <v>.15-12</v>
      </c>
      <c r="P89" s="25">
        <f>LNOP!P119</f>
        <v>420</v>
      </c>
      <c r="Q89" s="36" t="str">
        <f>LNOP!Q119</f>
        <v>.16-01</v>
      </c>
      <c r="R89" s="31" t="str">
        <f>LNOP!R119</f>
        <v>keh</v>
      </c>
      <c r="S89" s="25" t="str">
        <f>LNOP!S119</f>
        <v xml:space="preserve"> </v>
      </c>
      <c r="T89" s="36" t="str">
        <f>LNOP!T119</f>
        <v xml:space="preserve"> </v>
      </c>
      <c r="U89" s="31" t="str">
        <f>LNOP!U119</f>
        <v xml:space="preserve"> </v>
      </c>
    </row>
    <row r="90" spans="1:21">
      <c r="A90" s="143" t="str">
        <f>EFp!A18</f>
        <v>Canon</v>
      </c>
      <c r="B90" s="11" t="str">
        <f>EFp!B18</f>
        <v xml:space="preserve">EF 28/2.8 </v>
      </c>
      <c r="C90" s="16">
        <f>EFp!C18</f>
        <v>28</v>
      </c>
      <c r="D90" s="18">
        <f>EFp!D18</f>
        <v>2.8</v>
      </c>
      <c r="E90" s="31">
        <f>EFp!E18</f>
        <v>44.800000000000004</v>
      </c>
      <c r="F90" s="16" t="str">
        <f>EFp!F18</f>
        <v>EF</v>
      </c>
      <c r="G90" s="58">
        <f>EFp!G18</f>
        <v>0.3</v>
      </c>
      <c r="H90" s="53">
        <f>EFp!H18</f>
        <v>0.185</v>
      </c>
      <c r="I90" s="16">
        <f>EFp!I18</f>
        <v>42.5</v>
      </c>
      <c r="J90" s="16">
        <f>EFp!J18</f>
        <v>67.400000000000006</v>
      </c>
      <c r="K90" s="18">
        <f>EFp!K18</f>
        <v>52</v>
      </c>
      <c r="L90" s="25">
        <f>EFp!L18</f>
        <v>111.4</v>
      </c>
      <c r="M90" s="36" t="str">
        <f>EFp!M18</f>
        <v>.16-05</v>
      </c>
      <c r="N90" s="25">
        <f>EFp!N18</f>
        <v>160.69999999999999</v>
      </c>
      <c r="O90" s="73" t="str">
        <f>EFp!O18</f>
        <v>.16-05</v>
      </c>
      <c r="P90" s="25">
        <f>EFp!P18</f>
        <v>151.24</v>
      </c>
      <c r="Q90" s="36" t="str">
        <f>EFp!Q18</f>
        <v>.16-01</v>
      </c>
      <c r="R90" s="31" t="str">
        <f>EFp!R18</f>
        <v>ctc</v>
      </c>
      <c r="S90" s="25">
        <f>EFp!S18</f>
        <v>145</v>
      </c>
      <c r="T90" s="36" t="str">
        <f>EFp!T18</f>
        <v>.16-01</v>
      </c>
      <c r="U90" s="31" t="str">
        <f>EFp!U18</f>
        <v>igor</v>
      </c>
    </row>
    <row r="91" spans="1:21">
      <c r="A91" s="143" t="str">
        <f>EFp!A19</f>
        <v>Canon</v>
      </c>
      <c r="B91" s="11" t="str">
        <f>EFp!B19</f>
        <v>EF 28/2.8 IS USM</v>
      </c>
      <c r="C91" s="16">
        <f>EFp!C19</f>
        <v>28</v>
      </c>
      <c r="D91" s="18">
        <f>EFp!D19</f>
        <v>2.8</v>
      </c>
      <c r="E91" s="31">
        <f>EFp!E19</f>
        <v>44.800000000000004</v>
      </c>
      <c r="F91" s="16" t="str">
        <f>EFp!F19</f>
        <v>EF</v>
      </c>
      <c r="G91" s="58">
        <f>EFp!G19</f>
        <v>0.23</v>
      </c>
      <c r="H91" s="53">
        <f>EFp!H19</f>
        <v>0.26100000000000001</v>
      </c>
      <c r="I91" s="16">
        <f>EFp!I19</f>
        <v>51.3</v>
      </c>
      <c r="J91" s="16">
        <f>EFp!J19</f>
        <v>68.3</v>
      </c>
      <c r="K91" s="18">
        <f>EFp!K19</f>
        <v>58</v>
      </c>
      <c r="L91" s="25">
        <f>EFp!L19</f>
        <v>301</v>
      </c>
      <c r="M91" s="36" t="str">
        <f>EFp!M19</f>
        <v>.16-04</v>
      </c>
      <c r="N91" s="25">
        <f>EFp!N19</f>
        <v>400</v>
      </c>
      <c r="O91" s="73" t="str">
        <f>EFp!O19</f>
        <v>.16-05</v>
      </c>
      <c r="P91" s="25">
        <f>EFp!P19</f>
        <v>340</v>
      </c>
      <c r="Q91" s="36" t="str">
        <f>EFp!Q19</f>
        <v>.16-01</v>
      </c>
      <c r="R91" s="31" t="str">
        <f>EFp!R19</f>
        <v>LA</v>
      </c>
      <c r="S91" s="25">
        <f>EFp!S19</f>
        <v>425</v>
      </c>
      <c r="T91" s="36" t="str">
        <f>EFp!T19</f>
        <v>.15-11</v>
      </c>
      <c r="U91" s="31" t="str">
        <f>EFp!U19</f>
        <v>igor</v>
      </c>
    </row>
    <row r="92" spans="1:21">
      <c r="A92" s="143" t="str">
        <f>CZ.V!A37</f>
        <v>Carl Zeiss</v>
      </c>
      <c r="B92" s="11" t="str">
        <f>CZ.V!B37</f>
        <v>Distagon T* 28/2.8 CY</v>
      </c>
      <c r="C92" s="16">
        <f>CZ.V!C37</f>
        <v>28</v>
      </c>
      <c r="D92" s="18">
        <f>CZ.V!D37</f>
        <v>2.8</v>
      </c>
      <c r="E92" s="31">
        <f>CZ.V!E37</f>
        <v>44.800000000000004</v>
      </c>
      <c r="F92" s="16" t="str">
        <f>CZ.V!F37</f>
        <v>CY</v>
      </c>
      <c r="G92" s="58">
        <f>CZ.V!G37</f>
        <v>0.25</v>
      </c>
      <c r="H92" s="53">
        <f>CZ.V!H37</f>
        <v>0.28000000000000003</v>
      </c>
      <c r="I92" s="16">
        <f>CZ.V!I37</f>
        <v>50</v>
      </c>
      <c r="J92" s="16">
        <f>CZ.V!J37</f>
        <v>63</v>
      </c>
      <c r="K92" s="18">
        <f>CZ.V!K37</f>
        <v>55</v>
      </c>
      <c r="L92" s="25">
        <f>CZ.V!L37</f>
        <v>254.81818181818181</v>
      </c>
      <c r="M92" s="36" t="str">
        <f>CZ.V!M37</f>
        <v>.16-05</v>
      </c>
      <c r="N92" s="25">
        <f>CZ.V!N37</f>
        <v>351.66666666666669</v>
      </c>
      <c r="O92" s="73" t="str">
        <f>CZ.V!O37</f>
        <v>.16-05</v>
      </c>
      <c r="P92" s="25">
        <f>CZ.V!P37</f>
        <v>350</v>
      </c>
      <c r="Q92" s="36" t="str">
        <f>CZ.V!Q37</f>
        <v>.16-05</v>
      </c>
      <c r="R92" s="31" t="str">
        <f>CZ.V!R37</f>
        <v>keh</v>
      </c>
      <c r="S92" s="25">
        <f>CZ.V!S37</f>
        <v>420</v>
      </c>
      <c r="T92" s="36" t="str">
        <f>CZ.V!T37</f>
        <v>.16-05</v>
      </c>
      <c r="U92" s="31" t="str">
        <f>CZ.V!U37</f>
        <v>keh</v>
      </c>
    </row>
    <row r="93" spans="1:21">
      <c r="A93" s="143" t="str">
        <f>CZ.V!A88</f>
        <v>Zeiss Jena</v>
      </c>
      <c r="B93" s="11" t="str">
        <f>CZ.V!B88</f>
        <v>28/2.8 II MC Macro</v>
      </c>
      <c r="C93" s="16">
        <f>CZ.V!C88</f>
        <v>28</v>
      </c>
      <c r="D93" s="18">
        <f>CZ.V!D88</f>
        <v>2.8</v>
      </c>
      <c r="E93" s="31">
        <f>CZ.V!E88</f>
        <v>44.800000000000004</v>
      </c>
      <c r="F93" s="16" t="str">
        <f>CZ.V!F88</f>
        <v>M42</v>
      </c>
      <c r="G93" s="58">
        <f>CZ.V!G88</f>
        <v>0.3</v>
      </c>
      <c r="H93" s="53" t="str">
        <f>CZ.V!H88</f>
        <v xml:space="preserve"> </v>
      </c>
      <c r="I93" s="16">
        <f>CZ.V!I88</f>
        <v>60</v>
      </c>
      <c r="J93" s="16" t="str">
        <f>CZ.V!J88</f>
        <v xml:space="preserve"> </v>
      </c>
      <c r="K93" s="18">
        <f>CZ.V!K88</f>
        <v>49</v>
      </c>
      <c r="L93" s="25">
        <f>CZ.V!L88</f>
        <v>102.33333333333333</v>
      </c>
      <c r="M93" s="36" t="str">
        <f>CZ.V!M88</f>
        <v>.15-03</v>
      </c>
      <c r="N93" s="25">
        <f>CZ.V!N88</f>
        <v>165.33333333333334</v>
      </c>
      <c r="O93" s="73" t="str">
        <f>CZ.V!O88</f>
        <v>.14-08</v>
      </c>
      <c r="P93" s="25">
        <f>CZ.V!P88</f>
        <v>64.599999999999994</v>
      </c>
      <c r="Q93" s="36" t="str">
        <f>CZ.V!Q88</f>
        <v>.16-05</v>
      </c>
      <c r="R93" s="31" t="str">
        <f>CZ.V!R88</f>
        <v>v.v</v>
      </c>
      <c r="S93" s="25" t="str">
        <f>CZ.V!S88</f>
        <v xml:space="preserve"> </v>
      </c>
      <c r="T93" s="36" t="str">
        <f>CZ.V!T88</f>
        <v xml:space="preserve"> </v>
      </c>
      <c r="U93" s="31" t="str">
        <f>CZ.V!U88</f>
        <v xml:space="preserve"> </v>
      </c>
    </row>
    <row r="94" spans="1:21">
      <c r="A94" s="143" t="str">
        <f>CZ.V!A101</f>
        <v>Voigtlander</v>
      </c>
      <c r="B94" s="11" t="str">
        <f>CZ.V!B101</f>
        <v xml:space="preserve">28/2.8 Color Skopar Asp SL II </v>
      </c>
      <c r="C94" s="16">
        <f>CZ.V!C101</f>
        <v>28</v>
      </c>
      <c r="D94" s="18">
        <f>CZ.V!D101</f>
        <v>2.8</v>
      </c>
      <c r="E94" s="31">
        <f>CZ.V!E101</f>
        <v>44.800000000000004</v>
      </c>
      <c r="F94" s="16" t="str">
        <f>CZ.V!F101</f>
        <v>x</v>
      </c>
      <c r="G94" s="58">
        <f>CZ.V!G101</f>
        <v>0.22</v>
      </c>
      <c r="H94" s="53">
        <f>CZ.V!H101</f>
        <v>0.23</v>
      </c>
      <c r="I94" s="16">
        <f>CZ.V!I101</f>
        <v>27</v>
      </c>
      <c r="J94" s="16">
        <f>CZ.V!J101</f>
        <v>63.6</v>
      </c>
      <c r="K94" s="18">
        <f>CZ.V!K101</f>
        <v>52</v>
      </c>
      <c r="L94" s="25">
        <f>CZ.V!L101</f>
        <v>238</v>
      </c>
      <c r="M94" s="36" t="str">
        <f>CZ.V!M101</f>
        <v>.16-04</v>
      </c>
      <c r="N94" s="25">
        <f>CZ.V!N101</f>
        <v>339.33333333333331</v>
      </c>
      <c r="O94" s="73" t="str">
        <f>CZ.V!O101</f>
        <v>.16-04</v>
      </c>
      <c r="P94" s="25" t="str">
        <f>CZ.V!P101</f>
        <v xml:space="preserve"> </v>
      </c>
      <c r="Q94" s="36" t="str">
        <f>CZ.V!Q101</f>
        <v xml:space="preserve"> </v>
      </c>
      <c r="R94" s="31" t="str">
        <f>CZ.V!R101</f>
        <v xml:space="preserve"> </v>
      </c>
      <c r="S94" s="25">
        <f>CZ.V!S101</f>
        <v>480</v>
      </c>
      <c r="T94" s="36" t="str">
        <f>CZ.V!T101</f>
        <v>.16-04</v>
      </c>
      <c r="U94" s="31" t="str">
        <f>CZ.V!U101</f>
        <v>c'quest</v>
      </c>
    </row>
    <row r="95" spans="1:21">
      <c r="A95" s="143" t="str">
        <f>CZ.V!A111</f>
        <v>Schneider</v>
      </c>
      <c r="B95" s="11" t="str">
        <f>CZ.V!B111</f>
        <v>PC Super-Angulon 28/2.8 shift</v>
      </c>
      <c r="C95" s="16" t="str">
        <f>CZ.V!C111</f>
        <v>28</v>
      </c>
      <c r="D95" s="18">
        <f>CZ.V!D111</f>
        <v>2.8</v>
      </c>
      <c r="E95" s="31">
        <f>CZ.V!E111</f>
        <v>44.800000000000004</v>
      </c>
      <c r="F95" s="16" t="str">
        <f>CZ.V!F111</f>
        <v>x</v>
      </c>
      <c r="G95" s="58">
        <f>CZ.V!G111</f>
        <v>0.3</v>
      </c>
      <c r="H95" s="53">
        <f>CZ.V!H111</f>
        <v>0.56499999999999995</v>
      </c>
      <c r="I95" s="16">
        <f>CZ.V!I111</f>
        <v>86.5</v>
      </c>
      <c r="J95" s="16">
        <f>CZ.V!J111</f>
        <v>75</v>
      </c>
      <c r="K95" s="18">
        <f>CZ.V!K111</f>
        <v>67</v>
      </c>
      <c r="L95" s="25">
        <f>CZ.V!L111</f>
        <v>883.33333333333337</v>
      </c>
      <c r="M95" s="36" t="str">
        <f>CZ.V!M111</f>
        <v>.16-04</v>
      </c>
      <c r="N95" s="25">
        <f>CZ.V!N111</f>
        <v>1276.4444444444443</v>
      </c>
      <c r="O95" s="73" t="str">
        <f>CZ.V!O111</f>
        <v>.12-10</v>
      </c>
      <c r="P95" s="25">
        <f>CZ.V!P111</f>
        <v>1300</v>
      </c>
      <c r="Q95" s="36" t="str">
        <f>CZ.V!Q111</f>
        <v>.15-04</v>
      </c>
      <c r="R95" s="31" t="str">
        <f>CZ.V!R111</f>
        <v>ado</v>
      </c>
      <c r="S95" s="25" t="str">
        <f>CZ.V!S111</f>
        <v>1625</v>
      </c>
      <c r="T95" s="36" t="str">
        <f>CZ.V!T111</f>
        <v>.15-04</v>
      </c>
      <c r="U95" s="31" t="str">
        <f>CZ.V!U111</f>
        <v>igor</v>
      </c>
    </row>
    <row r="96" spans="1:21">
      <c r="A96" s="143" t="str">
        <f>LNOP!A13</f>
        <v>Leica</v>
      </c>
      <c r="B96" s="11" t="str">
        <f>LNOP!B13</f>
        <v xml:space="preserve">Elmarit-R 28/2.8 </v>
      </c>
      <c r="C96" s="16">
        <f>LNOP!C13</f>
        <v>28</v>
      </c>
      <c r="D96" s="18">
        <f>LNOP!D13</f>
        <v>2.8</v>
      </c>
      <c r="E96" s="31">
        <f>LNOP!E13</f>
        <v>44.8</v>
      </c>
      <c r="F96" s="16" t="str">
        <f>LNOP!F13</f>
        <v>LR</v>
      </c>
      <c r="G96" s="58">
        <f>LNOP!G13</f>
        <v>0.3</v>
      </c>
      <c r="H96" s="53">
        <f>LNOP!H13</f>
        <v>0.27500000000000002</v>
      </c>
      <c r="I96" s="16">
        <f>LNOP!I13</f>
        <v>40</v>
      </c>
      <c r="J96" s="16">
        <f>LNOP!J13</f>
        <v>63</v>
      </c>
      <c r="K96" s="18" t="str">
        <f>LNOP!K13</f>
        <v>S7</v>
      </c>
      <c r="L96" s="25">
        <f>LNOP!L13</f>
        <v>471.4</v>
      </c>
      <c r="M96" s="36" t="str">
        <f>LNOP!M13</f>
        <v>.16-03</v>
      </c>
      <c r="N96" s="25">
        <f>LNOP!N13</f>
        <v>653.5</v>
      </c>
      <c r="O96" s="73" t="str">
        <f>LNOP!O13</f>
        <v>.16-05</v>
      </c>
      <c r="P96" s="25">
        <f>LNOP!P13</f>
        <v>376.2</v>
      </c>
      <c r="Q96" s="36" t="str">
        <f>LNOP!Q13</f>
        <v>.15-04</v>
      </c>
      <c r="R96" s="31" t="str">
        <f>LNOP!R13</f>
        <v>v.v</v>
      </c>
      <c r="S96" s="25" t="str">
        <f>LNOP!S13</f>
        <v xml:space="preserve"> </v>
      </c>
      <c r="T96" s="36" t="str">
        <f>LNOP!T13</f>
        <v xml:space="preserve"> </v>
      </c>
      <c r="U96" s="31" t="str">
        <f>LNOP!U13</f>
        <v xml:space="preserve"> </v>
      </c>
    </row>
    <row r="97" spans="1:21">
      <c r="A97" s="143" t="str">
        <f>LNOP!A14</f>
        <v>Leica</v>
      </c>
      <c r="B97" s="11" t="str">
        <f>LNOP!B14</f>
        <v>Elmarit-R 28/2.8 E55 pre-ROM</v>
      </c>
      <c r="C97" s="16">
        <f>LNOP!C14</f>
        <v>28</v>
      </c>
      <c r="D97" s="18">
        <f>LNOP!D14</f>
        <v>2.8</v>
      </c>
      <c r="E97" s="31">
        <f>LNOP!E14</f>
        <v>44.8</v>
      </c>
      <c r="F97" s="16" t="str">
        <f>LNOP!F14</f>
        <v>LR</v>
      </c>
      <c r="G97" s="58">
        <f>LNOP!G14</f>
        <v>0.3</v>
      </c>
      <c r="H97" s="53">
        <f>LNOP!H14</f>
        <v>0.435</v>
      </c>
      <c r="I97" s="16">
        <f>LNOP!I14</f>
        <v>48</v>
      </c>
      <c r="J97" s="16">
        <f>LNOP!J14</f>
        <v>67.5</v>
      </c>
      <c r="K97" s="18">
        <f>LNOP!K14</f>
        <v>55</v>
      </c>
      <c r="L97" s="25">
        <f>LNOP!L14</f>
        <v>1527.75</v>
      </c>
      <c r="M97" s="36" t="str">
        <f>LNOP!M14</f>
        <v>.15-11</v>
      </c>
      <c r="N97" s="25">
        <f>LNOP!N14</f>
        <v>2115.6</v>
      </c>
      <c r="O97" s="73" t="str">
        <f>LNOP!O14</f>
        <v>.15-11</v>
      </c>
      <c r="P97" s="25">
        <f>LNOP!P14</f>
        <v>1800</v>
      </c>
      <c r="Q97" s="36" t="str">
        <f>LNOP!Q14</f>
        <v>.15-09</v>
      </c>
      <c r="R97" s="31" t="str">
        <f>LNOP!R14</f>
        <v>fm</v>
      </c>
      <c r="S97" s="25" t="str">
        <f>LNOP!S14</f>
        <v xml:space="preserve"> </v>
      </c>
      <c r="T97" s="36" t="str">
        <f>LNOP!T14</f>
        <v xml:space="preserve"> </v>
      </c>
      <c r="U97" s="31" t="str">
        <f>LNOP!U14</f>
        <v xml:space="preserve"> </v>
      </c>
    </row>
    <row r="98" spans="1:21">
      <c r="A98" s="143" t="str">
        <f>LNOP!A15</f>
        <v>Leica</v>
      </c>
      <c r="B98" s="11" t="str">
        <f>LNOP!B15</f>
        <v>PC-Super-Angulon 28/2.8 shift</v>
      </c>
      <c r="C98" s="16">
        <f>LNOP!C15</f>
        <v>28</v>
      </c>
      <c r="D98" s="18">
        <f>LNOP!D15</f>
        <v>2.8</v>
      </c>
      <c r="E98" s="31">
        <f>LNOP!E15</f>
        <v>44.8</v>
      </c>
      <c r="F98" s="16" t="str">
        <f>LNOP!F15</f>
        <v>LR</v>
      </c>
      <c r="G98" s="58" t="str">
        <f>LNOP!G15</f>
        <v xml:space="preserve"> </v>
      </c>
      <c r="H98" s="53" t="str">
        <f>LNOP!H15</f>
        <v xml:space="preserve"> </v>
      </c>
      <c r="I98" s="16" t="str">
        <f>LNOP!I15</f>
        <v xml:space="preserve"> </v>
      </c>
      <c r="J98" s="16" t="str">
        <f>LNOP!J15</f>
        <v xml:space="preserve"> </v>
      </c>
      <c r="K98" s="18" t="str">
        <f>LNOP!K15</f>
        <v xml:space="preserve"> </v>
      </c>
      <c r="L98" s="25">
        <f>LNOP!L15</f>
        <v>1116.2222222222222</v>
      </c>
      <c r="M98" s="36" t="str">
        <f>LNOP!M15</f>
        <v>.14-03</v>
      </c>
      <c r="N98" s="25">
        <f>LNOP!N15</f>
        <v>1755.5</v>
      </c>
      <c r="O98" s="73" t="str">
        <f>LNOP!O15</f>
        <v>.10-09</v>
      </c>
      <c r="P98" s="25">
        <f>LNOP!P15</f>
        <v>1495</v>
      </c>
      <c r="Q98" s="36" t="str">
        <f>LNOP!Q15</f>
        <v>.12-02</v>
      </c>
      <c r="R98" s="31" t="str">
        <f>LNOP!R15</f>
        <v>tamark</v>
      </c>
      <c r="S98" s="25">
        <f>LNOP!S15</f>
        <v>1625</v>
      </c>
      <c r="T98" s="36" t="str">
        <f>LNOP!T15</f>
        <v>.14-08</v>
      </c>
      <c r="U98" s="31" t="str">
        <f>LNOP!U15</f>
        <v>igor</v>
      </c>
    </row>
    <row r="99" spans="1:21">
      <c r="A99" s="143" t="str">
        <f>LNOP!A47</f>
        <v>Nikon</v>
      </c>
      <c r="B99" s="11" t="str">
        <f>LNOP!B47</f>
        <v>Nikkor 28/3.5 PC AI (bk knob)</v>
      </c>
      <c r="C99" s="16">
        <f>LNOP!C47</f>
        <v>28</v>
      </c>
      <c r="D99" s="18">
        <f>LNOP!D47</f>
        <v>3.5</v>
      </c>
      <c r="E99" s="31">
        <f>LNOP!E47</f>
        <v>44.8</v>
      </c>
      <c r="F99" s="16" t="str">
        <f>LNOP!F47</f>
        <v>AI</v>
      </c>
      <c r="G99" s="58">
        <f>LNOP!G47</f>
        <v>0.3</v>
      </c>
      <c r="H99" s="53">
        <f>LNOP!H47</f>
        <v>0.38</v>
      </c>
      <c r="I99" s="16">
        <f>LNOP!I47</f>
        <v>69</v>
      </c>
      <c r="J99" s="16">
        <f>LNOP!J47</f>
        <v>78</v>
      </c>
      <c r="K99" s="18">
        <f>LNOP!K47</f>
        <v>72</v>
      </c>
      <c r="L99" s="25">
        <f>LNOP!L47</f>
        <v>275.27272727272725</v>
      </c>
      <c r="M99" s="36" t="str">
        <f>LNOP!M47</f>
        <v>.16-05</v>
      </c>
      <c r="N99" s="25">
        <f>LNOP!N47</f>
        <v>398.11111111111109</v>
      </c>
      <c r="O99" s="73" t="str">
        <f>LNOP!O47</f>
        <v>.16-05</v>
      </c>
      <c r="P99" s="25">
        <f>LNOP!P47</f>
        <v>400</v>
      </c>
      <c r="Q99" s="36" t="str">
        <f>LNOP!Q47</f>
        <v>.16-01</v>
      </c>
      <c r="R99" s="31" t="str">
        <f>LNOP!R47</f>
        <v>b&amp;h</v>
      </c>
      <c r="S99" s="25">
        <f>LNOP!S47</f>
        <v>475</v>
      </c>
      <c r="T99" s="36" t="str">
        <f>LNOP!T47</f>
        <v>.15-11</v>
      </c>
      <c r="U99" s="31" t="str">
        <f>LNOP!U47</f>
        <v>igor</v>
      </c>
    </row>
    <row r="100" spans="1:21">
      <c r="A100" s="143" t="str">
        <f>LNOP!A120</f>
        <v>Pentax</v>
      </c>
      <c r="B100" s="11" t="str">
        <f>LNOP!B120</f>
        <v>SMC Pentax 28/3.5 Shift</v>
      </c>
      <c r="C100" s="16">
        <f>LNOP!C120</f>
        <v>28</v>
      </c>
      <c r="D100" s="18">
        <f>LNOP!D120</f>
        <v>3.5</v>
      </c>
      <c r="E100" s="31">
        <f>LNOP!E120</f>
        <v>44.8</v>
      </c>
      <c r="F100" s="16" t="str">
        <f>LNOP!F120</f>
        <v>K</v>
      </c>
      <c r="G100" s="58">
        <f>LNOP!G120</f>
        <v>0.3</v>
      </c>
      <c r="H100" s="53">
        <f>LNOP!H120</f>
        <v>0.61099999999999999</v>
      </c>
      <c r="I100" s="16">
        <f>LNOP!I120</f>
        <v>93</v>
      </c>
      <c r="J100" s="16">
        <f>LNOP!J120</f>
        <v>80</v>
      </c>
      <c r="K100" s="18" t="str">
        <f>LNOP!K120</f>
        <v>b.i.</v>
      </c>
      <c r="L100" s="25">
        <f>LNOP!L120</f>
        <v>404.1</v>
      </c>
      <c r="M100" s="36" t="str">
        <f>LNOP!M120</f>
        <v>.16-04</v>
      </c>
      <c r="N100" s="25">
        <f>LNOP!N120</f>
        <v>564.66666666666663</v>
      </c>
      <c r="O100" s="73" t="str">
        <f>LNOP!O120</f>
        <v>.16-01</v>
      </c>
      <c r="P100" s="25" t="str">
        <f>LNOP!P120</f>
        <v xml:space="preserve"> </v>
      </c>
      <c r="Q100" s="36" t="str">
        <f>LNOP!Q120</f>
        <v xml:space="preserve"> </v>
      </c>
      <c r="R100" s="31" t="str">
        <f>LNOP!R120</f>
        <v xml:space="preserve"> </v>
      </c>
      <c r="S100" s="25">
        <f>LNOP!S120</f>
        <v>835</v>
      </c>
      <c r="T100" s="36" t="str">
        <f>LNOP!T120</f>
        <v>.16-05</v>
      </c>
      <c r="U100" s="31" t="str">
        <f>LNOP!U120</f>
        <v>b&amp;h</v>
      </c>
    </row>
    <row r="101" spans="1:21">
      <c r="A101" s="143" t="str">
        <f>LNOP!A121</f>
        <v>Pentax</v>
      </c>
      <c r="B101" s="11" t="str">
        <f>LNOP!B121</f>
        <v>SMC Pentax 28/3.5</v>
      </c>
      <c r="C101" s="16">
        <f>LNOP!C121</f>
        <v>28</v>
      </c>
      <c r="D101" s="18">
        <f>LNOP!D121</f>
        <v>3.5</v>
      </c>
      <c r="E101" s="31">
        <f>LNOP!E121</f>
        <v>44.800000000000004</v>
      </c>
      <c r="F101" s="16" t="str">
        <f>LNOP!F121</f>
        <v>K</v>
      </c>
      <c r="G101" s="58">
        <f>LNOP!G121</f>
        <v>0.3</v>
      </c>
      <c r="H101" s="53">
        <f>LNOP!H121</f>
        <v>0.26100000000000001</v>
      </c>
      <c r="I101" s="16">
        <f>LNOP!I121</f>
        <v>47</v>
      </c>
      <c r="J101" s="16">
        <f>LNOP!J121</f>
        <v>63</v>
      </c>
      <c r="K101" s="18">
        <f>LNOP!K121</f>
        <v>52</v>
      </c>
      <c r="L101" s="25">
        <f>LNOP!L121</f>
        <v>122.27272727272727</v>
      </c>
      <c r="M101" s="36" t="str">
        <f>LNOP!M121</f>
        <v>.16-05</v>
      </c>
      <c r="N101" s="25">
        <f>LNOP!N121</f>
        <v>150</v>
      </c>
      <c r="O101" s="73" t="str">
        <f>LNOP!O121</f>
        <v>.16-05</v>
      </c>
      <c r="P101" s="25" t="str">
        <f>LNOP!P121</f>
        <v xml:space="preserve"> </v>
      </c>
      <c r="Q101" s="36" t="str">
        <f>LNOP!Q121</f>
        <v xml:space="preserve"> </v>
      </c>
      <c r="R101" s="31" t="str">
        <f>LNOP!R121</f>
        <v xml:space="preserve"> </v>
      </c>
      <c r="S101" s="25">
        <f>LNOP!S121</f>
        <v>330</v>
      </c>
      <c r="T101" s="36" t="str">
        <f>LNOP!T121</f>
        <v>.15-04</v>
      </c>
      <c r="U101" s="31" t="str">
        <f>LNOP!U121</f>
        <v>b&amp;h</v>
      </c>
    </row>
    <row r="102" spans="1:21">
      <c r="A102" s="144" t="str">
        <f>LNOP!A48</f>
        <v>Nikon</v>
      </c>
      <c r="B102" s="22" t="str">
        <f>LNOP!B48</f>
        <v>Nikkor 28/4 PC AI</v>
      </c>
      <c r="C102" s="27">
        <f>LNOP!C48</f>
        <v>28</v>
      </c>
      <c r="D102" s="41">
        <f>LNOP!D48</f>
        <v>4</v>
      </c>
      <c r="E102" s="33">
        <f>LNOP!E48</f>
        <v>44.8</v>
      </c>
      <c r="F102" s="27" t="str">
        <f>LNOP!F48</f>
        <v>AI</v>
      </c>
      <c r="G102" s="55">
        <f>LNOP!G48</f>
        <v>0.3</v>
      </c>
      <c r="H102" s="56">
        <f>LNOP!H48</f>
        <v>0.41</v>
      </c>
      <c r="I102" s="27" t="str">
        <f>LNOP!I48</f>
        <v xml:space="preserve"> </v>
      </c>
      <c r="J102" s="27">
        <f>LNOP!J48</f>
        <v>78</v>
      </c>
      <c r="K102" s="41">
        <f>LNOP!K48</f>
        <v>72</v>
      </c>
      <c r="L102" s="26">
        <f>LNOP!L48</f>
        <v>313.25</v>
      </c>
      <c r="M102" s="24" t="str">
        <f>LNOP!M48</f>
        <v>.16-05</v>
      </c>
      <c r="N102" s="26">
        <f>LNOP!N48</f>
        <v>568</v>
      </c>
      <c r="O102" s="124" t="str">
        <f>LNOP!O48</f>
        <v>.12-01</v>
      </c>
      <c r="P102" s="26">
        <f>LNOP!P48</f>
        <v>367</v>
      </c>
      <c r="Q102" s="24" t="str">
        <f>LNOP!Q48</f>
        <v>.14-08</v>
      </c>
      <c r="R102" s="33" t="str">
        <f>LNOP!R48</f>
        <v>keh</v>
      </c>
      <c r="S102" s="26">
        <f>LNOP!S48</f>
        <v>800</v>
      </c>
      <c r="T102" s="24" t="str">
        <f>LNOP!T48</f>
        <v>.10-05</v>
      </c>
      <c r="U102" s="33" t="str">
        <f>LNOP!U48</f>
        <v>b&amp;h</v>
      </c>
    </row>
    <row r="103" spans="1:21">
      <c r="A103" s="144" t="str">
        <f>LNOP!A122</f>
        <v>Pentax</v>
      </c>
      <c r="B103" s="22" t="str">
        <f>LNOP!B122</f>
        <v>SMC Pentax 30/2.8</v>
      </c>
      <c r="C103" s="27">
        <f>LNOP!C122</f>
        <v>30</v>
      </c>
      <c r="D103" s="41">
        <f>LNOP!D122</f>
        <v>2.8</v>
      </c>
      <c r="E103" s="33">
        <f>LNOP!E122</f>
        <v>44.800000000000004</v>
      </c>
      <c r="F103" s="27" t="str">
        <f>LNOP!F122</f>
        <v>K</v>
      </c>
      <c r="G103" s="55">
        <f>LNOP!G122</f>
        <v>0.3</v>
      </c>
      <c r="H103" s="56">
        <f>LNOP!H122</f>
        <v>0.215</v>
      </c>
      <c r="I103" s="27">
        <f>LNOP!I122</f>
        <v>63</v>
      </c>
      <c r="J103" s="27">
        <f>LNOP!J122</f>
        <v>40</v>
      </c>
      <c r="K103" s="41">
        <f>LNOP!K122</f>
        <v>52</v>
      </c>
      <c r="L103" s="26">
        <f>LNOP!L122</f>
        <v>235.16666666666666</v>
      </c>
      <c r="M103" s="24" t="str">
        <f>LNOP!M122</f>
        <v>.16-05</v>
      </c>
      <c r="N103" s="26">
        <f>LNOP!N122</f>
        <v>286.5</v>
      </c>
      <c r="O103" s="124" t="str">
        <f>LNOP!O122</f>
        <v>.16-04</v>
      </c>
      <c r="P103" s="26" t="str">
        <f>LNOP!P122</f>
        <v xml:space="preserve"> </v>
      </c>
      <c r="Q103" s="24" t="str">
        <f>LNOP!Q122</f>
        <v xml:space="preserve"> </v>
      </c>
      <c r="R103" s="33" t="str">
        <f>LNOP!R122</f>
        <v xml:space="preserve"> </v>
      </c>
      <c r="S103" s="26">
        <f>LNOP!S122</f>
        <v>650</v>
      </c>
      <c r="T103" s="24" t="str">
        <f>LNOP!T122</f>
        <v>.16-05</v>
      </c>
      <c r="U103" s="33" t="str">
        <f>LNOP!U122</f>
        <v>kevin</v>
      </c>
    </row>
    <row r="104" spans="1:21">
      <c r="A104" s="143" t="str">
        <f>EFp!A20</f>
        <v>Canon</v>
      </c>
      <c r="B104" s="11" t="str">
        <f>EFp!B20</f>
        <v xml:space="preserve">EF 35/1.4 L USM </v>
      </c>
      <c r="C104" s="16">
        <f>EFp!C20</f>
        <v>35</v>
      </c>
      <c r="D104" s="18">
        <f>EFp!D20</f>
        <v>1.4</v>
      </c>
      <c r="E104" s="31">
        <f>EFp!E20</f>
        <v>56</v>
      </c>
      <c r="F104" s="16" t="str">
        <f>EFp!F20</f>
        <v>EF</v>
      </c>
      <c r="G104" s="58">
        <f>EFp!G20</f>
        <v>0.3</v>
      </c>
      <c r="H104" s="53">
        <f>EFp!H20</f>
        <v>0.57999999999999996</v>
      </c>
      <c r="I104" s="16">
        <f>EFp!I20</f>
        <v>86</v>
      </c>
      <c r="J104" s="16">
        <f>EFp!J20</f>
        <v>79</v>
      </c>
      <c r="K104" s="18">
        <f>EFp!K20</f>
        <v>72</v>
      </c>
      <c r="L104" s="25">
        <f>EFp!L20</f>
        <v>707.41666666666663</v>
      </c>
      <c r="M104" s="36" t="str">
        <f>EFp!M20</f>
        <v>.16-05</v>
      </c>
      <c r="N104" s="25">
        <f>EFp!N20</f>
        <v>937.55555555555554</v>
      </c>
      <c r="O104" s="73" t="str">
        <f>EFp!O20</f>
        <v>.16-05</v>
      </c>
      <c r="P104" s="25">
        <f>EFp!P20</f>
        <v>900</v>
      </c>
      <c r="Q104" s="36" t="str">
        <f>EFp!Q20</f>
        <v>.16-01</v>
      </c>
      <c r="R104" s="31" t="str">
        <f>EFp!R20</f>
        <v>ado</v>
      </c>
      <c r="S104" s="25">
        <f>EFp!S20</f>
        <v>1000</v>
      </c>
      <c r="T104" s="36" t="str">
        <f>EFp!T20</f>
        <v>.16-01</v>
      </c>
      <c r="U104" s="31" t="str">
        <f>EFp!U20</f>
        <v>keh</v>
      </c>
    </row>
    <row r="105" spans="1:21">
      <c r="A105" s="143" t="str">
        <f>EFp!A21</f>
        <v>Canon</v>
      </c>
      <c r="B105" s="11" t="str">
        <f>EFp!B21</f>
        <v xml:space="preserve">EF 35/1.4 L II USM </v>
      </c>
      <c r="C105" s="16">
        <f>EFp!C21</f>
        <v>35</v>
      </c>
      <c r="D105" s="18">
        <f>EFp!D21</f>
        <v>1.4</v>
      </c>
      <c r="E105" s="31">
        <f>EFp!E21</f>
        <v>56</v>
      </c>
      <c r="F105" s="16" t="str">
        <f>EFp!F21</f>
        <v>EF</v>
      </c>
      <c r="G105" s="58">
        <f>EFp!G21</f>
        <v>0.28000000000000003</v>
      </c>
      <c r="H105" s="53">
        <f>EFp!H21</f>
        <v>0.76</v>
      </c>
      <c r="I105" s="16">
        <f>EFp!I21</f>
        <v>105.5</v>
      </c>
      <c r="J105" s="16">
        <f>EFp!J21</f>
        <v>80.400000000000006</v>
      </c>
      <c r="K105" s="18">
        <f>EFp!K21</f>
        <v>72</v>
      </c>
      <c r="L105" s="25" t="str">
        <f>EFp!L21</f>
        <v xml:space="preserve"> </v>
      </c>
      <c r="M105" s="36" t="str">
        <f>EFp!M21</f>
        <v xml:space="preserve"> </v>
      </c>
      <c r="N105" s="25">
        <f>EFp!N21</f>
        <v>1650</v>
      </c>
      <c r="O105" s="73" t="str">
        <f>EFp!O21</f>
        <v>.16-05</v>
      </c>
      <c r="P105" s="25" t="str">
        <f>EFp!P21</f>
        <v xml:space="preserve"> </v>
      </c>
      <c r="Q105" s="36" t="str">
        <f>EFp!Q21</f>
        <v xml:space="preserve"> </v>
      </c>
      <c r="R105" s="31" t="str">
        <f>EFp!R21</f>
        <v xml:space="preserve"> </v>
      </c>
      <c r="S105" s="25">
        <f>EFp!S21</f>
        <v>1800</v>
      </c>
      <c r="T105" s="36" t="str">
        <f>EFp!T21</f>
        <v>.15-09</v>
      </c>
      <c r="U105" s="31" t="str">
        <f>EFp!U21</f>
        <v>b&amp;h</v>
      </c>
    </row>
    <row r="106" spans="1:21">
      <c r="A106" s="143" t="str">
        <f>STT!A13</f>
        <v xml:space="preserve">Sigma </v>
      </c>
      <c r="B106" s="11" t="str">
        <f>STT!B13</f>
        <v>EX 35/1.4 DG HSM Art</v>
      </c>
      <c r="C106" s="16">
        <f>STT!C13</f>
        <v>35</v>
      </c>
      <c r="D106" s="18">
        <f>STT!D13</f>
        <v>1.4</v>
      </c>
      <c r="E106" s="31">
        <f>STT!E13</f>
        <v>56</v>
      </c>
      <c r="F106" s="16" t="str">
        <f>STT!F13</f>
        <v>EF</v>
      </c>
      <c r="G106" s="58">
        <f>STT!G13</f>
        <v>0.3</v>
      </c>
      <c r="H106" s="53">
        <f>STT!H13</f>
        <v>0.66500000000000004</v>
      </c>
      <c r="I106" s="16">
        <f>STT!I13</f>
        <v>94</v>
      </c>
      <c r="J106" s="16">
        <f>STT!J13</f>
        <v>77</v>
      </c>
      <c r="K106" s="18">
        <f>STT!K13</f>
        <v>67</v>
      </c>
      <c r="L106" s="25">
        <f>STT!L13</f>
        <v>645.5</v>
      </c>
      <c r="M106" s="36" t="str">
        <f>STT!M13</f>
        <v>.16-05</v>
      </c>
      <c r="N106" s="25">
        <f>STT!N13</f>
        <v>734.77777777777783</v>
      </c>
      <c r="O106" s="73" t="str">
        <f>STT!O13</f>
        <v>.16-04</v>
      </c>
      <c r="P106" s="25">
        <f>STT!P13</f>
        <v>570</v>
      </c>
      <c r="Q106" s="36" t="str">
        <f>STT!Q13</f>
        <v>.15-11</v>
      </c>
      <c r="R106" s="31" t="str">
        <f>STT!R13</f>
        <v>camtec</v>
      </c>
      <c r="S106" s="25">
        <f>STT!S13</f>
        <v>750</v>
      </c>
      <c r="T106" s="36" t="str">
        <f>STT!T13</f>
        <v>.15-11</v>
      </c>
      <c r="U106" s="31" t="str">
        <f>STT!U13</f>
        <v>camW</v>
      </c>
    </row>
    <row r="107" spans="1:21">
      <c r="A107" s="143" t="str">
        <f>CZ.V!A23</f>
        <v>Carl Zeiss</v>
      </c>
      <c r="B107" s="11" t="str">
        <f>CZ.V!B23</f>
        <v>Distagon T* 35/1.4 ZE</v>
      </c>
      <c r="C107" s="16">
        <f>CZ.V!C23</f>
        <v>35</v>
      </c>
      <c r="D107" s="18">
        <f>CZ.V!D23</f>
        <v>1.4</v>
      </c>
      <c r="E107" s="31">
        <f>CZ.V!E23</f>
        <v>56</v>
      </c>
      <c r="F107" s="16" t="str">
        <f>CZ.V!F23</f>
        <v>ZE</v>
      </c>
      <c r="G107" s="58">
        <f>CZ.V!G23</f>
        <v>0.3</v>
      </c>
      <c r="H107" s="53">
        <f>CZ.V!H23</f>
        <v>0.85</v>
      </c>
      <c r="I107" s="16">
        <f>CZ.V!I23</f>
        <v>98</v>
      </c>
      <c r="J107" s="16">
        <f>CZ.V!J23</f>
        <v>78</v>
      </c>
      <c r="K107" s="18">
        <f>CZ.V!K23</f>
        <v>72</v>
      </c>
      <c r="L107" s="25">
        <f>CZ.V!L23</f>
        <v>1219.6666666666667</v>
      </c>
      <c r="M107" s="36" t="str">
        <f>CZ.V!M23</f>
        <v>.16-05</v>
      </c>
      <c r="N107" s="25">
        <f>CZ.V!N23</f>
        <v>1507</v>
      </c>
      <c r="O107" s="73" t="str">
        <f>CZ.V!O23</f>
        <v>.15-11</v>
      </c>
      <c r="P107" s="25">
        <f>CZ.V!P23</f>
        <v>1200</v>
      </c>
      <c r="Q107" s="36" t="str">
        <f>CZ.V!Q23</f>
        <v>.16-03</v>
      </c>
      <c r="R107" s="31" t="str">
        <f>CZ.V!R23</f>
        <v>LA</v>
      </c>
      <c r="S107" s="25">
        <f>CZ.V!S23</f>
        <v>1300</v>
      </c>
      <c r="T107" s="36" t="str">
        <f>CZ.V!T23</f>
        <v>.16-01</v>
      </c>
      <c r="U107" s="31" t="str">
        <f>CZ.V!U23</f>
        <v>b&amp;h</v>
      </c>
    </row>
    <row r="108" spans="1:21">
      <c r="A108" s="143" t="str">
        <f>CZ.V!A38</f>
        <v>Carl Zeiss</v>
      </c>
      <c r="B108" s="11" t="str">
        <f>CZ.V!B38</f>
        <v>Distagon T* 35/1.4 CY</v>
      </c>
      <c r="C108" s="16">
        <f>CZ.V!C38</f>
        <v>35</v>
      </c>
      <c r="D108" s="18">
        <f>CZ.V!D38</f>
        <v>1.4</v>
      </c>
      <c r="E108" s="31">
        <f>CZ.V!E38</f>
        <v>56</v>
      </c>
      <c r="F108" s="16" t="str">
        <f>CZ.V!F38</f>
        <v>CY</v>
      </c>
      <c r="G108" s="58">
        <f>CZ.V!G38</f>
        <v>0.3</v>
      </c>
      <c r="H108" s="53">
        <f>CZ.V!H38</f>
        <v>0.6</v>
      </c>
      <c r="I108" s="16">
        <f>CZ.V!I38</f>
        <v>76</v>
      </c>
      <c r="J108" s="16">
        <f>CZ.V!J38</f>
        <v>70</v>
      </c>
      <c r="K108" s="18">
        <f>CZ.V!K38</f>
        <v>67</v>
      </c>
      <c r="L108" s="25">
        <f>CZ.V!L38</f>
        <v>965.5</v>
      </c>
      <c r="M108" s="36" t="str">
        <f>CZ.V!M38</f>
        <v>.16-05</v>
      </c>
      <c r="N108" s="25">
        <f>CZ.V!N38</f>
        <v>1208.25</v>
      </c>
      <c r="O108" s="73" t="str">
        <f>CZ.V!O38</f>
        <v>.16-05</v>
      </c>
      <c r="P108" s="25">
        <f>CZ.V!P38</f>
        <v>1675</v>
      </c>
      <c r="Q108" s="36" t="str">
        <f>CZ.V!Q38</f>
        <v>.16-05</v>
      </c>
      <c r="R108" s="31" t="str">
        <f>CZ.V!R38</f>
        <v>keh</v>
      </c>
      <c r="S108" s="25">
        <f>CZ.V!S38</f>
        <v>2184</v>
      </c>
      <c r="T108" s="36" t="str">
        <f>CZ.V!T38</f>
        <v>.15-11</v>
      </c>
      <c r="U108" s="31" t="str">
        <f>CZ.V!U38</f>
        <v>keh</v>
      </c>
    </row>
    <row r="109" spans="1:21">
      <c r="A109" s="143" t="str">
        <f>LNOP!A16</f>
        <v>Leica</v>
      </c>
      <c r="B109" s="11" t="str">
        <f>LNOP!B16</f>
        <v>Sumilux-R 35/1.4</v>
      </c>
      <c r="C109" s="16">
        <f>LNOP!C16</f>
        <v>35</v>
      </c>
      <c r="D109" s="18">
        <f>LNOP!D16</f>
        <v>1.4</v>
      </c>
      <c r="E109" s="31">
        <f>LNOP!E16</f>
        <v>56</v>
      </c>
      <c r="F109" s="16" t="str">
        <f>LNOP!F16</f>
        <v>LR</v>
      </c>
      <c r="G109" s="58">
        <f>LNOP!G16</f>
        <v>0.5</v>
      </c>
      <c r="H109" s="53">
        <f>LNOP!H16</f>
        <v>0.68500000000000005</v>
      </c>
      <c r="I109" s="16">
        <f>LNOP!I16</f>
        <v>76</v>
      </c>
      <c r="J109" s="16">
        <f>LNOP!J16</f>
        <v>75</v>
      </c>
      <c r="K109" s="18">
        <f>LNOP!K16</f>
        <v>67</v>
      </c>
      <c r="L109" s="25">
        <f>LNOP!L16</f>
        <v>933.42857142857144</v>
      </c>
      <c r="M109" s="36" t="str">
        <f>LNOP!M16</f>
        <v>.11-01</v>
      </c>
      <c r="N109" s="25">
        <f>LNOP!N16</f>
        <v>2724</v>
      </c>
      <c r="O109" s="73" t="str">
        <f>LNOP!O16</f>
        <v>.16-04</v>
      </c>
      <c r="P109" s="25">
        <f>LNOP!P16</f>
        <v>1400</v>
      </c>
      <c r="Q109" s="36" t="str">
        <f>LNOP!Q16</f>
        <v>.09-12</v>
      </c>
      <c r="R109" s="31" t="str">
        <f>LNOP!R16</f>
        <v>b&amp;h</v>
      </c>
      <c r="S109" s="25">
        <f>LNOP!S16</f>
        <v>1825</v>
      </c>
      <c r="T109" s="36" t="str">
        <f>LNOP!T16</f>
        <v>.10-05</v>
      </c>
      <c r="U109" s="31" t="str">
        <f>LNOP!U16</f>
        <v>igor</v>
      </c>
    </row>
    <row r="110" spans="1:21">
      <c r="A110" s="143" t="str">
        <f>LNOP!A49</f>
        <v>Nikon</v>
      </c>
      <c r="B110" s="11" t="str">
        <f>LNOP!B49</f>
        <v>Nikkor 35/1.4 AIS</v>
      </c>
      <c r="C110" s="16">
        <f>LNOP!C49</f>
        <v>35</v>
      </c>
      <c r="D110" s="18">
        <f>LNOP!D49</f>
        <v>1.4</v>
      </c>
      <c r="E110" s="31">
        <f>LNOP!E49</f>
        <v>56</v>
      </c>
      <c r="F110" s="16" t="str">
        <f>LNOP!F49</f>
        <v>AIS</v>
      </c>
      <c r="G110" s="58">
        <f>LNOP!G49</f>
        <v>0.3</v>
      </c>
      <c r="H110" s="53">
        <f>LNOP!H49</f>
        <v>0.41</v>
      </c>
      <c r="I110" s="16">
        <f>LNOP!I49</f>
        <v>62</v>
      </c>
      <c r="J110" s="16">
        <f>LNOP!J49</f>
        <v>67.5</v>
      </c>
      <c r="K110" s="18">
        <f>LNOP!K49</f>
        <v>52</v>
      </c>
      <c r="L110" s="25">
        <f>LNOP!L49</f>
        <v>306.75</v>
      </c>
      <c r="M110" s="36" t="str">
        <f>LNOP!M49</f>
        <v>.16-05</v>
      </c>
      <c r="N110" s="25">
        <f>LNOP!N49</f>
        <v>461.7</v>
      </c>
      <c r="O110" s="73" t="str">
        <f>LNOP!O49</f>
        <v>.16-04</v>
      </c>
      <c r="P110" s="25">
        <f>LNOP!P49</f>
        <v>475</v>
      </c>
      <c r="Q110" s="36" t="str">
        <f>LNOP!Q49</f>
        <v>.16-01</v>
      </c>
      <c r="R110" s="31" t="str">
        <f>LNOP!R49</f>
        <v>b&amp;h</v>
      </c>
      <c r="S110" s="25">
        <f>LNOP!S49</f>
        <v>600</v>
      </c>
      <c r="T110" s="36" t="str">
        <f>LNOP!T49</f>
        <v>.15-04</v>
      </c>
      <c r="U110" s="31" t="str">
        <f>LNOP!U49</f>
        <v>b&amp;h</v>
      </c>
    </row>
    <row r="111" spans="1:21">
      <c r="A111" s="143" t="str">
        <f>LNOP!A154</f>
        <v>Rokinon</v>
      </c>
      <c r="B111" s="11" t="str">
        <f>LNOP!B154</f>
        <v>35/1.4 AS UMC</v>
      </c>
      <c r="C111" s="16">
        <f>LNOP!C154</f>
        <v>35</v>
      </c>
      <c r="D111" s="18">
        <f>LNOP!D154</f>
        <v>1.4</v>
      </c>
      <c r="E111" s="31">
        <f>LNOP!E154</f>
        <v>56</v>
      </c>
      <c r="F111" s="16" t="str">
        <f>LNOP!F154</f>
        <v>EFx</v>
      </c>
      <c r="G111" s="58">
        <f>LNOP!G154</f>
        <v>0.3</v>
      </c>
      <c r="H111" s="53">
        <f>LNOP!H154</f>
        <v>0.41699999999999998</v>
      </c>
      <c r="I111" s="16">
        <f>LNOP!I154</f>
        <v>77.3</v>
      </c>
      <c r="J111" s="16">
        <f>LNOP!J154</f>
        <v>83</v>
      </c>
      <c r="K111" s="18">
        <f>LNOP!K154</f>
        <v>77</v>
      </c>
      <c r="L111" s="25">
        <f>LNOP!L154</f>
        <v>265.7420909090909</v>
      </c>
      <c r="M111" s="36" t="str">
        <f>LNOP!M154</f>
        <v>.16-05</v>
      </c>
      <c r="N111" s="25">
        <f>LNOP!N154</f>
        <v>358.66666666666669</v>
      </c>
      <c r="O111" s="73" t="str">
        <f>LNOP!O154</f>
        <v>.16-03</v>
      </c>
      <c r="P111" s="25">
        <f>LNOP!P154</f>
        <v>315</v>
      </c>
      <c r="Q111" s="36" t="str">
        <f>LNOP!Q154</f>
        <v>.15-11</v>
      </c>
      <c r="R111" s="31" t="str">
        <f>LNOP!R154</f>
        <v>ado</v>
      </c>
      <c r="S111" s="25">
        <f>LNOP!S154</f>
        <v>350</v>
      </c>
      <c r="T111" s="36" t="str">
        <f>LNOP!T154</f>
        <v>.16-01</v>
      </c>
      <c r="U111" s="31" t="str">
        <f>LNOP!U154</f>
        <v>b&amp;h</v>
      </c>
    </row>
    <row r="112" spans="1:21">
      <c r="A112" s="143" t="str">
        <f>STT!A50</f>
        <v>Tamron</v>
      </c>
      <c r="B112" s="11" t="str">
        <f>STT!B50</f>
        <v>SP 35/1.8 Di VC</v>
      </c>
      <c r="C112" s="16">
        <f>STT!C50</f>
        <v>35</v>
      </c>
      <c r="D112" s="18">
        <f>STT!D50</f>
        <v>1.8</v>
      </c>
      <c r="E112" s="31">
        <f>STT!E50</f>
        <v>56</v>
      </c>
      <c r="F112" s="16" t="str">
        <f>STT!F50</f>
        <v>EF</v>
      </c>
      <c r="G112" s="58">
        <f>STT!G50</f>
        <v>0.2</v>
      </c>
      <c r="H112" s="53">
        <f>STT!H50</f>
        <v>0.48</v>
      </c>
      <c r="I112" s="16">
        <f>STT!I50</f>
        <v>80.8</v>
      </c>
      <c r="J112" s="16">
        <f>STT!J50</f>
        <v>80.400000000000006</v>
      </c>
      <c r="K112" s="18">
        <f>STT!K50</f>
        <v>67</v>
      </c>
      <c r="L112" s="25" t="e">
        <f>STT!#REF!</f>
        <v>#REF!</v>
      </c>
      <c r="M112" s="36" t="str">
        <f>STT!M50</f>
        <v>.16-05</v>
      </c>
      <c r="N112" s="25">
        <f>STT!L50</f>
        <v>408</v>
      </c>
      <c r="O112" s="73" t="str">
        <f>STT!O50</f>
        <v>.16-05</v>
      </c>
      <c r="P112" s="25" t="str">
        <f>STT!P50</f>
        <v xml:space="preserve"> </v>
      </c>
      <c r="Q112" s="36" t="str">
        <f>STT!Q50</f>
        <v xml:space="preserve"> </v>
      </c>
      <c r="R112" s="31" t="str">
        <f>STT!R50</f>
        <v xml:space="preserve"> </v>
      </c>
      <c r="S112" s="25">
        <f>STT!S50</f>
        <v>530</v>
      </c>
      <c r="T112" s="36" t="str">
        <f>STT!T50</f>
        <v>.16-01</v>
      </c>
      <c r="U112" s="31" t="str">
        <f>STT!U50</f>
        <v>ado</v>
      </c>
    </row>
    <row r="113" spans="1:21">
      <c r="A113" s="143" t="str">
        <f>LNOP!A163</f>
        <v>Fuji Photo</v>
      </c>
      <c r="B113" s="11" t="str">
        <f>LNOP!B163</f>
        <v>EBC Fujinon-W 35/1.9</v>
      </c>
      <c r="C113" s="16">
        <f>LNOP!C163</f>
        <v>35</v>
      </c>
      <c r="D113" s="18">
        <f>LNOP!D163</f>
        <v>1.9</v>
      </c>
      <c r="E113" s="31">
        <f>LNOP!E163</f>
        <v>56</v>
      </c>
      <c r="F113" s="16" t="str">
        <f>LNOP!F163</f>
        <v>M42</v>
      </c>
      <c r="G113" s="58">
        <f>LNOP!G163</f>
        <v>0.4</v>
      </c>
      <c r="H113" s="53">
        <f>LNOP!H163</f>
        <v>0.23</v>
      </c>
      <c r="I113" s="16" t="str">
        <f>LNOP!I163</f>
        <v xml:space="preserve"> </v>
      </c>
      <c r="J113" s="16" t="str">
        <f>LNOP!J163</f>
        <v xml:space="preserve"> </v>
      </c>
      <c r="K113" s="18">
        <f>LNOP!K163</f>
        <v>49</v>
      </c>
      <c r="L113" s="25">
        <f>LNOP!L163</f>
        <v>250</v>
      </c>
      <c r="M113" s="36" t="str">
        <f>LNOP!M163</f>
        <v>.13-10</v>
      </c>
      <c r="N113" s="25">
        <f>LNOP!N163</f>
        <v>308.66666666666669</v>
      </c>
      <c r="O113" s="73" t="str">
        <f>LNOP!O163</f>
        <v>.16-01</v>
      </c>
      <c r="P113" s="25" t="str">
        <f>LNOP!P163</f>
        <v xml:space="preserve"> </v>
      </c>
      <c r="Q113" s="36" t="str">
        <f>LNOP!Q163</f>
        <v xml:space="preserve"> </v>
      </c>
      <c r="R113" s="31" t="str">
        <f>LNOP!R163</f>
        <v xml:space="preserve"> </v>
      </c>
      <c r="S113" s="25" t="str">
        <f>LNOP!S163</f>
        <v xml:space="preserve"> </v>
      </c>
      <c r="T113" s="36" t="str">
        <f>LNOP!T163</f>
        <v xml:space="preserve"> </v>
      </c>
      <c r="U113" s="31" t="str">
        <f>LNOP!U163</f>
        <v xml:space="preserve"> </v>
      </c>
    </row>
    <row r="114" spans="1:21">
      <c r="A114" s="143" t="str">
        <f>EFp!A22</f>
        <v>Canon</v>
      </c>
      <c r="B114" s="11" t="str">
        <f>EFp!B22</f>
        <v>EF 35/2</v>
      </c>
      <c r="C114" s="16">
        <f>EFp!C22</f>
        <v>35</v>
      </c>
      <c r="D114" s="18">
        <f>EFp!D22</f>
        <v>2</v>
      </c>
      <c r="E114" s="31">
        <f>EFp!E22</f>
        <v>56</v>
      </c>
      <c r="F114" s="16" t="str">
        <f>EFp!F22</f>
        <v>EF</v>
      </c>
      <c r="G114" s="58">
        <f>EFp!G22</f>
        <v>0.25</v>
      </c>
      <c r="H114" s="53">
        <f>EFp!H22</f>
        <v>0.21</v>
      </c>
      <c r="I114" s="16">
        <f>EFp!I22</f>
        <v>42.5</v>
      </c>
      <c r="J114" s="16">
        <f>EFp!J22</f>
        <v>67.400000000000006</v>
      </c>
      <c r="K114" s="18">
        <f>EFp!K22</f>
        <v>52</v>
      </c>
      <c r="L114" s="25">
        <f>EFp!L22</f>
        <v>172.66666666666666</v>
      </c>
      <c r="M114" s="36" t="str">
        <f>EFp!M22</f>
        <v>.16-05</v>
      </c>
      <c r="N114" s="25">
        <f>EFp!N22</f>
        <v>252.66666666666666</v>
      </c>
      <c r="O114" s="73" t="str">
        <f>EFp!O22</f>
        <v>.16-05</v>
      </c>
      <c r="P114" s="25">
        <f>EFp!P22</f>
        <v>280</v>
      </c>
      <c r="Q114" s="36" t="str">
        <f>EFp!Q22</f>
        <v>.16-01</v>
      </c>
      <c r="R114" s="31" t="str">
        <f>EFp!R22</f>
        <v>keh</v>
      </c>
      <c r="S114" s="25">
        <f>EFp!S22</f>
        <v>275</v>
      </c>
      <c r="T114" s="36" t="str">
        <f>EFp!T22</f>
        <v>.15-11</v>
      </c>
      <c r="U114" s="31" t="str">
        <f>EFp!U22</f>
        <v>camW</v>
      </c>
    </row>
    <row r="115" spans="1:21">
      <c r="A115" s="143" t="str">
        <f>EFp!A23</f>
        <v>Canon</v>
      </c>
      <c r="B115" s="11" t="str">
        <f>EFp!B23</f>
        <v>EF 35/2 IS</v>
      </c>
      <c r="C115" s="16">
        <f>EFp!C23</f>
        <v>35</v>
      </c>
      <c r="D115" s="18">
        <f>EFp!D23</f>
        <v>2</v>
      </c>
      <c r="E115" s="31">
        <f>EFp!E23</f>
        <v>56</v>
      </c>
      <c r="F115" s="16" t="str">
        <f>EFp!F23</f>
        <v>EF</v>
      </c>
      <c r="G115" s="58">
        <f>EFp!G23</f>
        <v>0.24</v>
      </c>
      <c r="H115" s="53">
        <f>EFp!H23</f>
        <v>0.33500000000000002</v>
      </c>
      <c r="I115" s="16">
        <f>EFp!I23</f>
        <v>63.5</v>
      </c>
      <c r="J115" s="16">
        <f>EFp!J23</f>
        <v>78.7</v>
      </c>
      <c r="K115" s="18">
        <f>EFp!K23</f>
        <v>67</v>
      </c>
      <c r="L115" s="25">
        <f>EFp!L23</f>
        <v>400.4</v>
      </c>
      <c r="M115" s="36" t="str">
        <f>EFp!M23</f>
        <v>.16-05</v>
      </c>
      <c r="N115" s="25">
        <f>EFp!N23</f>
        <v>483</v>
      </c>
      <c r="O115" s="73" t="str">
        <f>EFp!O23</f>
        <v>.16-05</v>
      </c>
      <c r="P115" s="25" t="str">
        <f>EFp!P23</f>
        <v xml:space="preserve"> </v>
      </c>
      <c r="Q115" s="36" t="str">
        <f>EFp!Q23</f>
        <v xml:space="preserve"> </v>
      </c>
      <c r="R115" s="31" t="str">
        <f>EFp!R23</f>
        <v xml:space="preserve"> </v>
      </c>
      <c r="S115" s="25">
        <f>EFp!S23</f>
        <v>500</v>
      </c>
      <c r="T115" s="36" t="str">
        <f>EFp!T23</f>
        <v>.16-01</v>
      </c>
      <c r="U115" s="31" t="str">
        <f>EFp!U23</f>
        <v>keh</v>
      </c>
    </row>
    <row r="116" spans="1:21">
      <c r="A116" s="143" t="str">
        <f>CZ.V!A8</f>
        <v>Carl Zeiss</v>
      </c>
      <c r="B116" s="11" t="str">
        <f>CZ.V!B8</f>
        <v>Milvus T* 35/2 ZE</v>
      </c>
      <c r="C116" s="16">
        <f>CZ.V!C8</f>
        <v>35</v>
      </c>
      <c r="D116" s="18">
        <f>CZ.V!D8</f>
        <v>2</v>
      </c>
      <c r="E116" s="31">
        <f>CZ.V!E8</f>
        <v>56</v>
      </c>
      <c r="F116" s="16" t="str">
        <f>CZ.V!F8</f>
        <v>ZE</v>
      </c>
      <c r="G116" s="58">
        <f>CZ.V!G8</f>
        <v>0.3</v>
      </c>
      <c r="H116" s="53">
        <f>CZ.V!H8</f>
        <v>0.70199999999999996</v>
      </c>
      <c r="I116" s="16">
        <f>CZ.V!I8</f>
        <v>83</v>
      </c>
      <c r="J116" s="16">
        <f>CZ.V!J8</f>
        <v>77</v>
      </c>
      <c r="K116" s="18">
        <f>CZ.V!K8</f>
        <v>58</v>
      </c>
      <c r="L116" s="25">
        <f>CZ.V!L8</f>
        <v>891</v>
      </c>
      <c r="M116" s="36" t="str">
        <f>CZ.V!M8</f>
        <v>.16-05</v>
      </c>
      <c r="N116" s="25">
        <f>CZ.V!N8</f>
        <v>1039.5</v>
      </c>
      <c r="O116" s="73" t="str">
        <f>CZ.V!O8</f>
        <v>.15-12</v>
      </c>
      <c r="P116" s="25" t="str">
        <f>CZ.V!P8</f>
        <v xml:space="preserve"> </v>
      </c>
      <c r="Q116" s="36" t="str">
        <f>CZ.V!Q8</f>
        <v xml:space="preserve"> </v>
      </c>
      <c r="R116" s="31" t="str">
        <f>CZ.V!R8</f>
        <v xml:space="preserve"> </v>
      </c>
      <c r="S116" s="25">
        <f>CZ.V!S8</f>
        <v>1000</v>
      </c>
      <c r="T116" s="36" t="str">
        <f>CZ.V!T8</f>
        <v>.16-03</v>
      </c>
      <c r="U116" s="31" t="str">
        <f>CZ.V!U8</f>
        <v>ado</v>
      </c>
    </row>
    <row r="117" spans="1:21">
      <c r="A117" s="143" t="str">
        <f>CZ.V!A24</f>
        <v>Carl Zeiss</v>
      </c>
      <c r="B117" s="11" t="str">
        <f>CZ.V!B24</f>
        <v>Distagon T* 35/2 ZE</v>
      </c>
      <c r="C117" s="16">
        <f>CZ.V!C24</f>
        <v>35</v>
      </c>
      <c r="D117" s="18">
        <f>CZ.V!D24</f>
        <v>2</v>
      </c>
      <c r="E117" s="31">
        <f>CZ.V!E24</f>
        <v>56</v>
      </c>
      <c r="F117" s="16" t="str">
        <f>CZ.V!F24</f>
        <v>ZE</v>
      </c>
      <c r="G117" s="58">
        <f>CZ.V!G24</f>
        <v>0.3</v>
      </c>
      <c r="H117" s="53">
        <f>CZ.V!H24</f>
        <v>0.56999999999999995</v>
      </c>
      <c r="I117" s="16">
        <f>CZ.V!I24</f>
        <v>75</v>
      </c>
      <c r="J117" s="16">
        <f>CZ.V!J24</f>
        <v>72.7</v>
      </c>
      <c r="K117" s="18">
        <f>CZ.V!K24</f>
        <v>58</v>
      </c>
      <c r="L117" s="25">
        <f>CZ.V!L24</f>
        <v>624.36363636363637</v>
      </c>
      <c r="M117" s="36" t="str">
        <f>CZ.V!M24</f>
        <v>.16-05</v>
      </c>
      <c r="N117" s="25">
        <f>CZ.V!N24</f>
        <v>801.16666666666663</v>
      </c>
      <c r="O117" s="73" t="str">
        <f>CZ.V!O24</f>
        <v>.16-05</v>
      </c>
      <c r="P117" s="25">
        <f>CZ.V!P24</f>
        <v>720</v>
      </c>
      <c r="Q117" s="36" t="str">
        <f>CZ.V!Q24</f>
        <v>.16-01</v>
      </c>
      <c r="R117" s="31" t="str">
        <f>CZ.V!R24</f>
        <v>b&amp;h</v>
      </c>
      <c r="S117" s="25">
        <f>CZ.V!S24</f>
        <v>604.20000000000005</v>
      </c>
      <c r="T117" s="36" t="str">
        <f>CZ.V!T24</f>
        <v>.16-05</v>
      </c>
      <c r="U117" s="31" t="str">
        <f>CZ.V!U24</f>
        <v>d'town</v>
      </c>
    </row>
    <row r="118" spans="1:21">
      <c r="A118" s="143" t="str">
        <f>LNOP!A17</f>
        <v>Leica</v>
      </c>
      <c r="B118" s="11" t="str">
        <f>LNOP!B17</f>
        <v>Summicron-R 35/2 3cam</v>
      </c>
      <c r="C118" s="16">
        <f>LNOP!C17</f>
        <v>35</v>
      </c>
      <c r="D118" s="18">
        <f>LNOP!D17</f>
        <v>2</v>
      </c>
      <c r="E118" s="31">
        <f>LNOP!E17</f>
        <v>56</v>
      </c>
      <c r="F118" s="16" t="str">
        <f>LNOP!F17</f>
        <v>LR</v>
      </c>
      <c r="G118" s="58">
        <f>LNOP!G17</f>
        <v>0.3</v>
      </c>
      <c r="H118" s="53">
        <f>LNOP!H17</f>
        <v>0.43</v>
      </c>
      <c r="I118" s="16">
        <f>LNOP!I17</f>
        <v>54</v>
      </c>
      <c r="J118" s="16">
        <f>LNOP!J17</f>
        <v>66</v>
      </c>
      <c r="K118" s="18">
        <f>LNOP!K17</f>
        <v>55</v>
      </c>
      <c r="L118" s="25">
        <f>LNOP!L17</f>
        <v>735.09090909090912</v>
      </c>
      <c r="M118" s="36" t="str">
        <f>LNOP!M17</f>
        <v>.16-05</v>
      </c>
      <c r="N118" s="25">
        <f>LNOP!N17</f>
        <v>969.08333333333337</v>
      </c>
      <c r="O118" s="73" t="str">
        <f>LNOP!O17</f>
        <v>.15-08</v>
      </c>
      <c r="P118" s="25">
        <f>LNOP!P17</f>
        <v>775</v>
      </c>
      <c r="Q118" s="36" t="str">
        <f>LNOP!Q17</f>
        <v>.16-01</v>
      </c>
      <c r="R118" s="31" t="str">
        <f>LNOP!R17</f>
        <v>igor</v>
      </c>
      <c r="S118" s="25">
        <f>LNOP!S17</f>
        <v>595</v>
      </c>
      <c r="T118" s="36" t="str">
        <f>LNOP!T17</f>
        <v>.10-01</v>
      </c>
      <c r="U118" s="31" t="str">
        <f>LNOP!U17</f>
        <v>bklyn</v>
      </c>
    </row>
    <row r="119" spans="1:21">
      <c r="A119" s="143" t="str">
        <f>LNOP!A18</f>
        <v>Leica</v>
      </c>
      <c r="B119" s="11" t="str">
        <f>LNOP!B18</f>
        <v>Summicron-R 35/2 E55</v>
      </c>
      <c r="C119" s="16">
        <f>LNOP!C18</f>
        <v>35</v>
      </c>
      <c r="D119" s="18">
        <f>LNOP!D18</f>
        <v>2</v>
      </c>
      <c r="E119" s="31">
        <f>LNOP!E18</f>
        <v>56</v>
      </c>
      <c r="F119" s="16" t="str">
        <f>LNOP!F18</f>
        <v>LR</v>
      </c>
      <c r="G119" s="58">
        <f>LNOP!G18</f>
        <v>0.3</v>
      </c>
      <c r="H119" s="53">
        <f>LNOP!H18</f>
        <v>0.43</v>
      </c>
      <c r="I119" s="16">
        <f>LNOP!I18</f>
        <v>54</v>
      </c>
      <c r="J119" s="16">
        <f>LNOP!J18</f>
        <v>66</v>
      </c>
      <c r="K119" s="18">
        <f>LNOP!K18</f>
        <v>55</v>
      </c>
      <c r="L119" s="25">
        <f>LNOP!L18</f>
        <v>927.4</v>
      </c>
      <c r="M119" s="36" t="str">
        <f>LNOP!M18</f>
        <v>.16-03</v>
      </c>
      <c r="N119" s="25">
        <f>LNOP!N18</f>
        <v>1167.2</v>
      </c>
      <c r="O119" s="73" t="str">
        <f>LNOP!O18</f>
        <v>.16-03</v>
      </c>
      <c r="P119" s="25">
        <f>LNOP!P18</f>
        <v>975</v>
      </c>
      <c r="Q119" s="36" t="str">
        <f>LNOP!Q18</f>
        <v>.15-11</v>
      </c>
      <c r="R119" s="31" t="str">
        <f>LNOP!R18</f>
        <v>igor</v>
      </c>
      <c r="S119" s="25">
        <f>LNOP!S18</f>
        <v>975</v>
      </c>
      <c r="T119" s="36" t="str">
        <f>LNOP!T18</f>
        <v>.15-04</v>
      </c>
      <c r="U119" s="31" t="str">
        <f>LNOP!U18</f>
        <v>igor</v>
      </c>
    </row>
    <row r="120" spans="1:21">
      <c r="A120" s="143" t="str">
        <f>LNOP!A103</f>
        <v>Pentax</v>
      </c>
      <c r="B120" s="11" t="str">
        <f>LNOP!B103</f>
        <v>SMC Takumar 35/2</v>
      </c>
      <c r="C120" s="16">
        <f>LNOP!C103</f>
        <v>35</v>
      </c>
      <c r="D120" s="18">
        <f>LNOP!D103</f>
        <v>2</v>
      </c>
      <c r="E120" s="31">
        <f>LNOP!E103</f>
        <v>56</v>
      </c>
      <c r="F120" s="16" t="str">
        <f>LNOP!F103</f>
        <v>M42</v>
      </c>
      <c r="G120" s="58">
        <f>LNOP!G103</f>
        <v>0.4</v>
      </c>
      <c r="H120" s="53">
        <f>LNOP!H103</f>
        <v>0.24199999999999999</v>
      </c>
      <c r="I120" s="16">
        <f>LNOP!I103</f>
        <v>58</v>
      </c>
      <c r="J120" s="16">
        <f>LNOP!J103</f>
        <v>54</v>
      </c>
      <c r="K120" s="18">
        <f>LNOP!K103</f>
        <v>49</v>
      </c>
      <c r="L120" s="25">
        <f>LNOP!L103</f>
        <v>176.33333333333334</v>
      </c>
      <c r="M120" s="36" t="str">
        <f>LNOP!M103</f>
        <v>.16-03</v>
      </c>
      <c r="N120" s="25">
        <f>LNOP!N103</f>
        <v>253.5</v>
      </c>
      <c r="O120" s="73" t="str">
        <f>LNOP!O103</f>
        <v>.15-08</v>
      </c>
      <c r="P120" s="25">
        <f>LNOP!P103</f>
        <v>200</v>
      </c>
      <c r="Q120" s="36" t="str">
        <f>LNOP!Q103</f>
        <v>.16-01</v>
      </c>
      <c r="R120" s="31" t="str">
        <f>LNOP!R103</f>
        <v>keh</v>
      </c>
      <c r="S120" s="25">
        <f>LNOP!S103</f>
        <v>150</v>
      </c>
      <c r="T120" s="36" t="str">
        <f>LNOP!T103</f>
        <v>.16-01</v>
      </c>
      <c r="U120" s="31" t="str">
        <f>LNOP!U103</f>
        <v>igor</v>
      </c>
    </row>
    <row r="121" spans="1:21">
      <c r="A121" s="143" t="str">
        <f>CZ.V!A89</f>
        <v>Zeiss Jena</v>
      </c>
      <c r="B121" s="11" t="str">
        <f>CZ.V!B89</f>
        <v xml:space="preserve">Flektogon 35/2.4 MC </v>
      </c>
      <c r="C121" s="16">
        <f>CZ.V!C89</f>
        <v>35</v>
      </c>
      <c r="D121" s="18">
        <f>CZ.V!D89</f>
        <v>2.4</v>
      </c>
      <c r="E121" s="31">
        <f>CZ.V!E89</f>
        <v>56</v>
      </c>
      <c r="F121" s="16" t="str">
        <f>CZ.V!F89</f>
        <v>M42</v>
      </c>
      <c r="G121" s="58">
        <f>CZ.V!G89</f>
        <v>0.2</v>
      </c>
      <c r="H121" s="53">
        <f>CZ.V!H89</f>
        <v>0.25</v>
      </c>
      <c r="I121" s="16">
        <f>CZ.V!I89</f>
        <v>52</v>
      </c>
      <c r="J121" s="16">
        <f>CZ.V!J89</f>
        <v>64</v>
      </c>
      <c r="K121" s="18">
        <f>CZ.V!K89</f>
        <v>49</v>
      </c>
      <c r="L121" s="25">
        <f>CZ.V!L89</f>
        <v>182.18181818181819</v>
      </c>
      <c r="M121" s="36" t="str">
        <f>CZ.V!M89</f>
        <v>.16-05</v>
      </c>
      <c r="N121" s="25">
        <f>CZ.V!N89</f>
        <v>266</v>
      </c>
      <c r="O121" s="73" t="str">
        <f>CZ.V!O89</f>
        <v>.16-05</v>
      </c>
      <c r="P121" s="25" t="str">
        <f>CZ.V!P89</f>
        <v xml:space="preserve"> </v>
      </c>
      <c r="Q121" s="36" t="str">
        <f>CZ.V!Q89</f>
        <v xml:space="preserve"> </v>
      </c>
      <c r="R121" s="31" t="str">
        <f>CZ.V!R89</f>
        <v xml:space="preserve"> </v>
      </c>
      <c r="S121" s="25" t="str">
        <f>CZ.V!S89</f>
        <v xml:space="preserve"> </v>
      </c>
      <c r="T121" s="36" t="str">
        <f>CZ.V!T89</f>
        <v xml:space="preserve"> </v>
      </c>
      <c r="U121" s="31" t="str">
        <f>CZ.V!U89</f>
        <v xml:space="preserve"> </v>
      </c>
    </row>
    <row r="122" spans="1:21">
      <c r="A122" s="143" t="str">
        <f>CZ.V!A39</f>
        <v>Carl Zeiss</v>
      </c>
      <c r="B122" s="11" t="str">
        <f>CZ.V!B39</f>
        <v>Distagon T* 35/2.8  CY</v>
      </c>
      <c r="C122" s="16">
        <f>CZ.V!C39</f>
        <v>35</v>
      </c>
      <c r="D122" s="18">
        <f>CZ.V!D39</f>
        <v>2.8</v>
      </c>
      <c r="E122" s="31">
        <f>CZ.V!E39</f>
        <v>56</v>
      </c>
      <c r="F122" s="16" t="str">
        <f>CZ.V!F39</f>
        <v>CY</v>
      </c>
      <c r="G122" s="58">
        <f>CZ.V!G39</f>
        <v>0.4</v>
      </c>
      <c r="H122" s="53">
        <f>CZ.V!H39</f>
        <v>0.24</v>
      </c>
      <c r="I122" s="16">
        <f>CZ.V!I39</f>
        <v>46</v>
      </c>
      <c r="J122" s="16">
        <f>CZ.V!J39</f>
        <v>62.5</v>
      </c>
      <c r="K122" s="18">
        <f>CZ.V!K39</f>
        <v>55</v>
      </c>
      <c r="L122" s="25">
        <f>CZ.V!L39</f>
        <v>230.63636363636363</v>
      </c>
      <c r="M122" s="36" t="str">
        <f>CZ.V!M39</f>
        <v>.16-05</v>
      </c>
      <c r="N122" s="25">
        <f>CZ.V!N39</f>
        <v>318.88888888888891</v>
      </c>
      <c r="O122" s="73" t="str">
        <f>CZ.V!O39</f>
        <v>.16-05</v>
      </c>
      <c r="P122" s="25">
        <f>CZ.V!P39</f>
        <v>350</v>
      </c>
      <c r="Q122" s="36" t="str">
        <f>CZ.V!Q39</f>
        <v>.16-05</v>
      </c>
      <c r="R122" s="31" t="str">
        <f>CZ.V!R39</f>
        <v>keh</v>
      </c>
      <c r="S122" s="25">
        <f>CZ.V!S39</f>
        <v>450</v>
      </c>
      <c r="T122" s="36" t="str">
        <f>CZ.V!T39</f>
        <v>.16-01</v>
      </c>
      <c r="U122" s="31" t="str">
        <f>CZ.V!U39</f>
        <v>keh</v>
      </c>
    </row>
    <row r="123" spans="1:21">
      <c r="A123" s="143" t="str">
        <f>CZ.V!A40</f>
        <v>Carl Zeiss</v>
      </c>
      <c r="B123" s="11" t="str">
        <f>CZ.V!B40</f>
        <v>PC Distagon T* 35/2.8  CY</v>
      </c>
      <c r="C123" s="16">
        <f>CZ.V!C40</f>
        <v>35</v>
      </c>
      <c r="D123" s="18">
        <f>CZ.V!D40</f>
        <v>2.8</v>
      </c>
      <c r="E123" s="31">
        <f>CZ.V!E40</f>
        <v>56</v>
      </c>
      <c r="F123" s="16" t="str">
        <f>CZ.V!F40</f>
        <v>CY</v>
      </c>
      <c r="G123" s="58">
        <f>CZ.V!G40</f>
        <v>0.3</v>
      </c>
      <c r="H123" s="53">
        <f>CZ.V!H40</f>
        <v>0.74</v>
      </c>
      <c r="I123" s="16">
        <f>CZ.V!I40</f>
        <v>85.6</v>
      </c>
      <c r="J123" s="16">
        <f>CZ.V!J40</f>
        <v>70</v>
      </c>
      <c r="K123" s="18" t="str">
        <f>CZ.V!K40</f>
        <v>70co</v>
      </c>
      <c r="L123" s="25">
        <f>CZ.V!L40</f>
        <v>941</v>
      </c>
      <c r="M123" s="36" t="str">
        <f>CZ.V!M40</f>
        <v>.16-05</v>
      </c>
      <c r="N123" s="25">
        <f>CZ.V!N40</f>
        <v>1542.5</v>
      </c>
      <c r="O123" s="73" t="str">
        <f>CZ.V!O40</f>
        <v>.16-05</v>
      </c>
      <c r="P123" s="25">
        <f>CZ.V!P40</f>
        <v>1670</v>
      </c>
      <c r="Q123" s="36" t="str">
        <f>CZ.V!Q40</f>
        <v>.12-04</v>
      </c>
      <c r="R123" s="31" t="str">
        <f>CZ.V!R40</f>
        <v>keh</v>
      </c>
      <c r="S123" s="25" t="str">
        <f>CZ.V!S40</f>
        <v xml:space="preserve"> </v>
      </c>
      <c r="T123" s="36" t="str">
        <f>CZ.V!T40</f>
        <v xml:space="preserve"> </v>
      </c>
      <c r="U123" s="31" t="str">
        <f>CZ.V!U40</f>
        <v xml:space="preserve"> </v>
      </c>
    </row>
    <row r="124" spans="1:21">
      <c r="A124" s="143" t="str">
        <f>CZ.V!A90</f>
        <v>Zeiss Jena</v>
      </c>
      <c r="B124" s="11" t="str">
        <f>CZ.V!B90</f>
        <v xml:space="preserve">Flektogon 35/2.8 SC Macro </v>
      </c>
      <c r="C124" s="16">
        <f>CZ.V!C90</f>
        <v>35</v>
      </c>
      <c r="D124" s="18">
        <f>CZ.V!D90</f>
        <v>2.8</v>
      </c>
      <c r="E124" s="31">
        <f>CZ.V!E90</f>
        <v>56</v>
      </c>
      <c r="F124" s="16" t="str">
        <f>CZ.V!F90</f>
        <v>M42</v>
      </c>
      <c r="G124" s="58">
        <f>CZ.V!G90</f>
        <v>0.18</v>
      </c>
      <c r="H124" s="53">
        <f>CZ.V!H90</f>
        <v>0.22600000000000001</v>
      </c>
      <c r="I124" s="16" t="str">
        <f>CZ.V!I90</f>
        <v xml:space="preserve"> </v>
      </c>
      <c r="J124" s="16" t="str">
        <f>CZ.V!J90</f>
        <v xml:space="preserve"> </v>
      </c>
      <c r="K124" s="18">
        <f>CZ.V!K90</f>
        <v>49</v>
      </c>
      <c r="L124" s="25">
        <f>CZ.V!L90</f>
        <v>170</v>
      </c>
      <c r="M124" s="36" t="str">
        <f>CZ.V!M90</f>
        <v>.16-04</v>
      </c>
      <c r="N124" s="25">
        <f>CZ.V!N90</f>
        <v>0</v>
      </c>
      <c r="O124" s="73" t="str">
        <f>CZ.V!O90</f>
        <v xml:space="preserve"> </v>
      </c>
      <c r="P124" s="25" t="str">
        <f>CZ.V!P90</f>
        <v xml:space="preserve"> </v>
      </c>
      <c r="Q124" s="36" t="str">
        <f>CZ.V!Q90</f>
        <v xml:space="preserve"> </v>
      </c>
      <c r="R124" s="31" t="str">
        <f>CZ.V!R90</f>
        <v xml:space="preserve"> </v>
      </c>
      <c r="S124" s="25" t="str">
        <f>CZ.V!S90</f>
        <v xml:space="preserve"> </v>
      </c>
      <c r="T124" s="36" t="str">
        <f>CZ.V!T90</f>
        <v xml:space="preserve"> </v>
      </c>
      <c r="U124" s="31" t="str">
        <f>CZ.V!U90</f>
        <v xml:space="preserve"> </v>
      </c>
    </row>
    <row r="125" spans="1:21">
      <c r="A125" s="143" t="str">
        <f>CZ.V!A102</f>
        <v>Voigtlander</v>
      </c>
      <c r="B125" s="11" t="str">
        <f>CZ.V!B102</f>
        <v xml:space="preserve">35/2.8 Color Skoparex SL </v>
      </c>
      <c r="C125" s="16">
        <f>CZ.V!C102</f>
        <v>35</v>
      </c>
      <c r="D125" s="18">
        <f>CZ.V!D102</f>
        <v>2.8</v>
      </c>
      <c r="E125" s="31">
        <f>CZ.V!E102</f>
        <v>56</v>
      </c>
      <c r="F125" s="16" t="str">
        <f>CZ.V!F102</f>
        <v>x</v>
      </c>
      <c r="G125" s="58">
        <f>CZ.V!G102</f>
        <v>0.4</v>
      </c>
      <c r="H125" s="53">
        <f>CZ.V!H102</f>
        <v>0.21</v>
      </c>
      <c r="I125" s="16">
        <f>CZ.V!I102</f>
        <v>53</v>
      </c>
      <c r="J125" s="16" t="str">
        <f>CZ.V!J102</f>
        <v xml:space="preserve"> </v>
      </c>
      <c r="K125" s="18">
        <f>CZ.V!K102</f>
        <v>49</v>
      </c>
      <c r="L125" s="25">
        <f>CZ.V!L102</f>
        <v>204</v>
      </c>
      <c r="M125" s="36" t="str">
        <f>CZ.V!M102</f>
        <v>.16-03</v>
      </c>
      <c r="N125" s="25">
        <f>CZ.V!N102</f>
        <v>398</v>
      </c>
      <c r="O125" s="73" t="str">
        <f>CZ.V!O102</f>
        <v>.14-08</v>
      </c>
      <c r="P125" s="25" t="str">
        <f>CZ.V!P102</f>
        <v xml:space="preserve"> </v>
      </c>
      <c r="Q125" s="36" t="str">
        <f>CZ.V!Q102</f>
        <v xml:space="preserve"> </v>
      </c>
      <c r="R125" s="31" t="str">
        <f>CZ.V!R102</f>
        <v xml:space="preserve"> </v>
      </c>
      <c r="S125" s="25" t="str">
        <f>CZ.V!S102</f>
        <v xml:space="preserve"> </v>
      </c>
      <c r="T125" s="36" t="str">
        <f>CZ.V!T102</f>
        <v xml:space="preserve"> </v>
      </c>
      <c r="U125" s="31" t="str">
        <f>CZ.V!U102</f>
        <v xml:space="preserve"> </v>
      </c>
    </row>
    <row r="126" spans="1:21">
      <c r="A126" s="143" t="str">
        <f>LNOP!A19</f>
        <v>Leica</v>
      </c>
      <c r="B126" s="11" t="str">
        <f>LNOP!B19</f>
        <v>Elmarit R-35/2.8 II h-lugs</v>
      </c>
      <c r="C126" s="16">
        <f>LNOP!C19</f>
        <v>35</v>
      </c>
      <c r="D126" s="18">
        <f>LNOP!D19</f>
        <v>2.8</v>
      </c>
      <c r="E126" s="31">
        <f>LNOP!E19</f>
        <v>56</v>
      </c>
      <c r="F126" s="16" t="str">
        <f>LNOP!F19</f>
        <v>LR</v>
      </c>
      <c r="G126" s="58">
        <f>LNOP!G19</f>
        <v>0.3</v>
      </c>
      <c r="H126" s="53">
        <f>LNOP!H19</f>
        <v>0.41</v>
      </c>
      <c r="I126" s="16">
        <f>LNOP!I19</f>
        <v>40</v>
      </c>
      <c r="J126" s="16">
        <f>LNOP!J19</f>
        <v>63</v>
      </c>
      <c r="K126" s="18" t="str">
        <f>LNOP!K19</f>
        <v>VII</v>
      </c>
      <c r="L126" s="25">
        <f>LNOP!L19</f>
        <v>353.5</v>
      </c>
      <c r="M126" s="36" t="str">
        <f>LNOP!M19</f>
        <v>.16-04</v>
      </c>
      <c r="N126" s="25">
        <f>LNOP!N19</f>
        <v>502.22222222222223</v>
      </c>
      <c r="O126" s="73" t="str">
        <f>LNOP!O19</f>
        <v>.16-03</v>
      </c>
      <c r="P126" s="25">
        <f>LNOP!P19</f>
        <v>395</v>
      </c>
      <c r="Q126" s="36" t="str">
        <f>LNOP!Q19</f>
        <v>.16-01</v>
      </c>
      <c r="R126" s="31" t="str">
        <f>LNOP!R19</f>
        <v>igor</v>
      </c>
      <c r="S126" s="25">
        <f>LNOP!S19</f>
        <v>595</v>
      </c>
      <c r="T126" s="36" t="str">
        <f>LNOP!T19</f>
        <v>.12-02</v>
      </c>
      <c r="U126" s="31" t="str">
        <f>LNOP!U19</f>
        <v>tamark</v>
      </c>
    </row>
    <row r="127" spans="1:21">
      <c r="A127" s="143" t="str">
        <f>LNOP!A20</f>
        <v>Leica</v>
      </c>
      <c r="B127" s="11" t="str">
        <f>LNOP!B20</f>
        <v>Elmarit R-35/2.8 III E55 h-bi</v>
      </c>
      <c r="C127" s="16">
        <f>LNOP!C20</f>
        <v>35</v>
      </c>
      <c r="D127" s="18">
        <f>LNOP!D20</f>
        <v>2.8</v>
      </c>
      <c r="E127" s="31">
        <f>LNOP!E20</f>
        <v>56</v>
      </c>
      <c r="F127" s="16" t="str">
        <f>LNOP!F20</f>
        <v>LR</v>
      </c>
      <c r="G127" s="58">
        <f>LNOP!G20</f>
        <v>0.3</v>
      </c>
      <c r="H127" s="53">
        <f>LNOP!H20</f>
        <v>0.30499999999999999</v>
      </c>
      <c r="I127" s="16">
        <f>LNOP!I20</f>
        <v>41.5</v>
      </c>
      <c r="J127" s="16">
        <f>LNOP!J20</f>
        <v>66</v>
      </c>
      <c r="K127" s="18">
        <f>LNOP!K20</f>
        <v>55</v>
      </c>
      <c r="L127" s="25">
        <f>LNOP!L20</f>
        <v>440.6</v>
      </c>
      <c r="M127" s="36" t="str">
        <f>LNOP!M20</f>
        <v>.16-05</v>
      </c>
      <c r="N127" s="25">
        <f>LNOP!N20</f>
        <v>543</v>
      </c>
      <c r="O127" s="73" t="str">
        <f>LNOP!O20</f>
        <v>.15-04</v>
      </c>
      <c r="P127" s="25">
        <f>LNOP!P20</f>
        <v>600</v>
      </c>
      <c r="Q127" s="36" t="str">
        <f>LNOP!Q20</f>
        <v>.14-08</v>
      </c>
      <c r="R127" s="31" t="str">
        <f>LNOP!R20</f>
        <v>b&amp;h</v>
      </c>
      <c r="S127" s="25">
        <f>LNOP!S20</f>
        <v>625</v>
      </c>
      <c r="T127" s="36" t="str">
        <f>LNOP!T20</f>
        <v>.15-11</v>
      </c>
      <c r="U127" s="31" t="str">
        <f>LNOP!U20</f>
        <v>igor</v>
      </c>
    </row>
    <row r="128" spans="1:21">
      <c r="A128" s="143" t="str">
        <f>LNOP!A50</f>
        <v>Nikon</v>
      </c>
      <c r="B128" s="11" t="str">
        <f>LNOP!B50</f>
        <v>Nikkor 35/2.8 PC n AI (bk knob)</v>
      </c>
      <c r="C128" s="16">
        <f>LNOP!C50</f>
        <v>35</v>
      </c>
      <c r="D128" s="18">
        <f>LNOP!D50</f>
        <v>2.8</v>
      </c>
      <c r="E128" s="31">
        <f>LNOP!E50</f>
        <v>56</v>
      </c>
      <c r="F128" s="16" t="str">
        <f>LNOP!F50</f>
        <v>AI</v>
      </c>
      <c r="G128" s="58">
        <f>LNOP!G50</f>
        <v>0.3</v>
      </c>
      <c r="H128" s="53">
        <f>LNOP!H50</f>
        <v>0.32</v>
      </c>
      <c r="I128" s="16">
        <f>LNOP!I50</f>
        <v>66</v>
      </c>
      <c r="J128" s="16">
        <f>LNOP!J50</f>
        <v>62</v>
      </c>
      <c r="K128" s="18">
        <f>LNOP!K50</f>
        <v>52</v>
      </c>
      <c r="L128" s="25">
        <f>LNOP!L50</f>
        <v>237.7</v>
      </c>
      <c r="M128" s="36" t="str">
        <f>LNOP!M50</f>
        <v>.16-03</v>
      </c>
      <c r="N128" s="25">
        <f>LNOP!N50</f>
        <v>407.75</v>
      </c>
      <c r="O128" s="73" t="str">
        <f>LNOP!O50</f>
        <v>.16-03</v>
      </c>
      <c r="P128" s="25">
        <f>LNOP!P50</f>
        <v>350</v>
      </c>
      <c r="Q128" s="36" t="str">
        <f>LNOP!Q50</f>
        <v>.16-01</v>
      </c>
      <c r="R128" s="31" t="str">
        <f>LNOP!R50</f>
        <v>b&amp;h</v>
      </c>
      <c r="S128" s="25">
        <f>LNOP!S50</f>
        <v>400</v>
      </c>
      <c r="T128" s="36" t="str">
        <f>LNOP!T50</f>
        <v>.16-01</v>
      </c>
      <c r="U128" s="31" t="str">
        <f>LNOP!U50</f>
        <v>b&amp;h</v>
      </c>
    </row>
    <row r="129" spans="1:21">
      <c r="A129" s="143" t="str">
        <f>LNOP!A79</f>
        <v>Olympus</v>
      </c>
      <c r="B129" s="11" t="str">
        <f>LNOP!B79</f>
        <v>Zuiko 35/2.8 Shift</v>
      </c>
      <c r="C129" s="16">
        <f>LNOP!C79</f>
        <v>35</v>
      </c>
      <c r="D129" s="18">
        <f>LNOP!D79</f>
        <v>2.8</v>
      </c>
      <c r="E129" s="31">
        <f>LNOP!E79</f>
        <v>56</v>
      </c>
      <c r="F129" s="16" t="str">
        <f>LNOP!F79</f>
        <v>OM</v>
      </c>
      <c r="G129" s="58">
        <f>LNOP!G79</f>
        <v>0.3</v>
      </c>
      <c r="H129" s="53">
        <f>LNOP!H79</f>
        <v>0.31</v>
      </c>
      <c r="I129" s="16">
        <f>LNOP!I79</f>
        <v>58</v>
      </c>
      <c r="J129" s="16">
        <f>LNOP!J79</f>
        <v>68</v>
      </c>
      <c r="K129" s="18">
        <f>LNOP!K79</f>
        <v>49</v>
      </c>
      <c r="L129" s="25">
        <f>LNOP!L79</f>
        <v>287.66666666666669</v>
      </c>
      <c r="M129" s="36" t="str">
        <f>LNOP!M79</f>
        <v>.16-03</v>
      </c>
      <c r="N129" s="25">
        <f>LNOP!N79</f>
        <v>434.4</v>
      </c>
      <c r="O129" s="73" t="str">
        <f>LNOP!O79</f>
        <v>.15-11</v>
      </c>
      <c r="P129" s="25">
        <f>LNOP!P79</f>
        <v>380</v>
      </c>
      <c r="Q129" s="36" t="str">
        <f>LNOP!Q79</f>
        <v>.16-01</v>
      </c>
      <c r="R129" s="31" t="str">
        <f>LNOP!R79</f>
        <v>keh</v>
      </c>
      <c r="S129" s="25">
        <f>LNOP!S79</f>
        <v>445</v>
      </c>
      <c r="T129" s="36" t="str">
        <f>LNOP!T79</f>
        <v>.16-05</v>
      </c>
      <c r="U129" s="31" t="str">
        <f>LNOP!U79</f>
        <v>igor</v>
      </c>
    </row>
    <row r="130" spans="1:21">
      <c r="A130" s="143" t="str">
        <f>LNOP!A164</f>
        <v>Fuji Photo</v>
      </c>
      <c r="B130" s="11" t="str">
        <f>LNOP!B164</f>
        <v>EBC Fujinon-W 35/2.8</v>
      </c>
      <c r="C130" s="16">
        <f>LNOP!C164</f>
        <v>35</v>
      </c>
      <c r="D130" s="18">
        <f>LNOP!D164</f>
        <v>2.8</v>
      </c>
      <c r="E130" s="31">
        <f>LNOP!E164</f>
        <v>56</v>
      </c>
      <c r="F130" s="16" t="str">
        <f>LNOP!F164</f>
        <v>M42</v>
      </c>
      <c r="G130" s="58">
        <f>LNOP!G164</f>
        <v>0.4</v>
      </c>
      <c r="H130" s="53">
        <f>LNOP!H164</f>
        <v>0.185</v>
      </c>
      <c r="I130" s="16">
        <f>LNOP!I164</f>
        <v>44</v>
      </c>
      <c r="J130" s="16">
        <f>LNOP!J164</f>
        <v>60</v>
      </c>
      <c r="K130" s="18">
        <f>LNOP!K164</f>
        <v>49</v>
      </c>
      <c r="L130" s="25">
        <f>LNOP!L164</f>
        <v>112.125</v>
      </c>
      <c r="M130" s="36" t="str">
        <f>LNOP!M164</f>
        <v>.15-01</v>
      </c>
      <c r="N130" s="25">
        <f>LNOP!N164</f>
        <v>148.66666666666666</v>
      </c>
      <c r="O130" s="73" t="str">
        <f>LNOP!O164</f>
        <v>.15-02</v>
      </c>
      <c r="P130" s="25" t="str">
        <f>LNOP!P164</f>
        <v xml:space="preserve"> </v>
      </c>
      <c r="Q130" s="36" t="str">
        <f>LNOP!Q164</f>
        <v xml:space="preserve"> </v>
      </c>
      <c r="R130" s="31" t="str">
        <f>LNOP!R164</f>
        <v xml:space="preserve"> </v>
      </c>
      <c r="S130" s="25" t="str">
        <f>LNOP!S164</f>
        <v xml:space="preserve"> </v>
      </c>
      <c r="T130" s="36" t="str">
        <f>LNOP!T164</f>
        <v xml:space="preserve"> </v>
      </c>
      <c r="U130" s="31" t="str">
        <f>LNOP!U164</f>
        <v xml:space="preserve"> </v>
      </c>
    </row>
    <row r="131" spans="1:21">
      <c r="A131" s="143" t="str">
        <f>LNOP!A182</f>
        <v>Mamiya</v>
      </c>
      <c r="B131" s="11" t="str">
        <f>LNOP!B182</f>
        <v>mamyia/sekor AUTO 35/2.8 SX</v>
      </c>
      <c r="C131" s="16">
        <f>LNOP!C182</f>
        <v>35</v>
      </c>
      <c r="D131" s="18">
        <f>LNOP!D182</f>
        <v>2.8</v>
      </c>
      <c r="E131" s="31">
        <f>LNOP!E182</f>
        <v>56</v>
      </c>
      <c r="F131" s="16" t="str">
        <f>LNOP!F182</f>
        <v>M42</v>
      </c>
      <c r="G131" s="58">
        <f>LNOP!G182</f>
        <v>0.4</v>
      </c>
      <c r="H131" s="53">
        <f>LNOP!H182</f>
        <v>0.21</v>
      </c>
      <c r="I131" s="16" t="str">
        <f>LNOP!I182</f>
        <v xml:space="preserve"> </v>
      </c>
      <c r="J131" s="16" t="str">
        <f>LNOP!J182</f>
        <v xml:space="preserve"> </v>
      </c>
      <c r="K131" s="18">
        <f>LNOP!K182</f>
        <v>52</v>
      </c>
      <c r="L131" s="25">
        <f>LNOP!L182</f>
        <v>77.666666666666671</v>
      </c>
      <c r="M131" s="36" t="str">
        <f>LNOP!M182</f>
        <v>.13-01</v>
      </c>
      <c r="N131" s="25">
        <f>LNOP!N182</f>
        <v>0</v>
      </c>
      <c r="O131" s="73" t="str">
        <f>LNOP!O182</f>
        <v xml:space="preserve"> </v>
      </c>
      <c r="P131" s="25" t="str">
        <f>LNOP!P182</f>
        <v xml:space="preserve"> </v>
      </c>
      <c r="Q131" s="36" t="str">
        <f>LNOP!Q182</f>
        <v xml:space="preserve"> </v>
      </c>
      <c r="R131" s="31" t="str">
        <f>LNOP!R182</f>
        <v xml:space="preserve"> </v>
      </c>
      <c r="S131" s="25" t="str">
        <f>LNOP!S182</f>
        <v xml:space="preserve"> </v>
      </c>
      <c r="T131" s="36" t="str">
        <f>LNOP!T182</f>
        <v xml:space="preserve"> </v>
      </c>
      <c r="U131" s="31" t="str">
        <f>LNOP!U182</f>
        <v xml:space="preserve"> </v>
      </c>
    </row>
    <row r="132" spans="1:21">
      <c r="A132" s="143" t="str">
        <f>LNOP!A123</f>
        <v>Pentax</v>
      </c>
      <c r="B132" s="11" t="str">
        <f>LNOP!B123</f>
        <v>SMC Pentax 35/3.5</v>
      </c>
      <c r="C132" s="16">
        <f>LNOP!C123</f>
        <v>35</v>
      </c>
      <c r="D132" s="18">
        <f>LNOP!D123</f>
        <v>3.5</v>
      </c>
      <c r="E132" s="31">
        <f>LNOP!E123</f>
        <v>56</v>
      </c>
      <c r="F132" s="16" t="str">
        <f>LNOP!F123</f>
        <v>K</v>
      </c>
      <c r="G132" s="58">
        <f>LNOP!G123</f>
        <v>0.35</v>
      </c>
      <c r="H132" s="53">
        <f>LNOP!H123</f>
        <v>0.161</v>
      </c>
      <c r="I132" s="16">
        <f>LNOP!I123</f>
        <v>63</v>
      </c>
      <c r="J132" s="16">
        <f>LNOP!J123</f>
        <v>36</v>
      </c>
      <c r="K132" s="18">
        <f>LNOP!K123</f>
        <v>52</v>
      </c>
      <c r="L132" s="25">
        <f>LNOP!L123</f>
        <v>127.71428571428571</v>
      </c>
      <c r="M132" s="36" t="str">
        <f>LNOP!M123</f>
        <v>.16-04</v>
      </c>
      <c r="N132" s="25">
        <f>LNOP!N123</f>
        <v>154.375</v>
      </c>
      <c r="O132" s="73" t="str">
        <f>LNOP!O123</f>
        <v>.16-05</v>
      </c>
      <c r="P132" s="25" t="str">
        <f>LNOP!P123</f>
        <v xml:space="preserve"> </v>
      </c>
      <c r="Q132" s="36" t="str">
        <f>LNOP!Q123</f>
        <v xml:space="preserve"> </v>
      </c>
      <c r="R132" s="31" t="str">
        <f>LNOP!R123</f>
        <v xml:space="preserve"> </v>
      </c>
      <c r="S132" s="25" t="str">
        <f>LNOP!S123</f>
        <v xml:space="preserve"> </v>
      </c>
      <c r="T132" s="36" t="str">
        <f>LNOP!T123</f>
        <v xml:space="preserve"> </v>
      </c>
      <c r="U132" s="31" t="str">
        <f>LNOP!U123</f>
        <v xml:space="preserve"> </v>
      </c>
    </row>
    <row r="133" spans="1:21">
      <c r="A133" s="143" t="str">
        <f>'645'!A8</f>
        <v>Mamiya</v>
      </c>
      <c r="B133" s="11" t="str">
        <f>'645'!B8</f>
        <v>Mamiya-Sekor C 35/3.5 N</v>
      </c>
      <c r="C133" s="16">
        <f>'645'!C8</f>
        <v>35</v>
      </c>
      <c r="D133" s="18">
        <f>'645'!D8</f>
        <v>3.5</v>
      </c>
      <c r="E133" s="31">
        <f>'645'!E8</f>
        <v>56</v>
      </c>
      <c r="F133" s="16" t="str">
        <f>'645'!F8</f>
        <v>M645</v>
      </c>
      <c r="G133" s="58">
        <f>'645'!G8</f>
        <v>0.45</v>
      </c>
      <c r="H133" s="53">
        <f>'645'!H8</f>
        <v>0.44500000000000001</v>
      </c>
      <c r="I133" s="16">
        <f>'645'!I8</f>
        <v>61</v>
      </c>
      <c r="J133" s="16">
        <f>'645'!J8</f>
        <v>80</v>
      </c>
      <c r="K133" s="18">
        <f>'645'!K8</f>
        <v>77</v>
      </c>
      <c r="L133" s="25">
        <f>'645'!L8</f>
        <v>216.3</v>
      </c>
      <c r="M133" s="36" t="str">
        <f>'645'!M8</f>
        <v>.16-05</v>
      </c>
      <c r="N133" s="25">
        <f>'645'!N8</f>
        <v>279.88888888888891</v>
      </c>
      <c r="O133" s="73" t="str">
        <f>'645'!O8</f>
        <v>.16-05</v>
      </c>
      <c r="P133" s="25">
        <f>'645'!P8</f>
        <v>390</v>
      </c>
      <c r="Q133" s="36" t="str">
        <f>'645'!Q8</f>
        <v>.16-01</v>
      </c>
      <c r="R133" s="31" t="str">
        <f>'645'!R8</f>
        <v>b&amp;h</v>
      </c>
      <c r="S133" s="25">
        <f>'645'!S8</f>
        <v>225</v>
      </c>
      <c r="T133" s="36" t="str">
        <f>'645'!T8</f>
        <v>.16-01</v>
      </c>
      <c r="U133" s="31" t="str">
        <f>'645'!U8</f>
        <v>igor</v>
      </c>
    </row>
    <row r="134" spans="1:21">
      <c r="A134" s="143" t="str">
        <f>CZ.V!A112</f>
        <v>Schneider</v>
      </c>
      <c r="B134" s="11" t="str">
        <f>CZ.V!B112</f>
        <v>PA-Curtagon 35/4 Shift</v>
      </c>
      <c r="C134" s="16">
        <f>CZ.V!C112</f>
        <v>35</v>
      </c>
      <c r="D134" s="18">
        <f>CZ.V!D112</f>
        <v>4</v>
      </c>
      <c r="E134" s="31">
        <f>CZ.V!E112</f>
        <v>56</v>
      </c>
      <c r="F134" s="16" t="str">
        <f>CZ.V!F112</f>
        <v>x</v>
      </c>
      <c r="G134" s="58">
        <f>CZ.V!G112</f>
        <v>0.28000000000000003</v>
      </c>
      <c r="H134" s="53">
        <f>CZ.V!H112</f>
        <v>0.31</v>
      </c>
      <c r="I134" s="16">
        <f>CZ.V!I112</f>
        <v>51</v>
      </c>
      <c r="J134" s="16" t="str">
        <f>CZ.V!J112</f>
        <v xml:space="preserve"> </v>
      </c>
      <c r="K134" s="18">
        <f>CZ.V!K112</f>
        <v>49</v>
      </c>
      <c r="L134" s="25">
        <f>CZ.V!L112</f>
        <v>348.45454545454544</v>
      </c>
      <c r="M134" s="36" t="str">
        <f>CZ.V!M112</f>
        <v>.15-10</v>
      </c>
      <c r="N134" s="25">
        <f>CZ.V!N112</f>
        <v>539.57142857142856</v>
      </c>
      <c r="O134" s="73" t="str">
        <f>CZ.V!O112</f>
        <v>.15-12</v>
      </c>
      <c r="P134" s="25" t="str">
        <f>CZ.V!P112</f>
        <v xml:space="preserve"> </v>
      </c>
      <c r="Q134" s="36" t="str">
        <f>CZ.V!Q112</f>
        <v xml:space="preserve"> </v>
      </c>
      <c r="R134" s="31" t="str">
        <f>CZ.V!R112</f>
        <v xml:space="preserve"> </v>
      </c>
      <c r="S134" s="25">
        <f>CZ.V!S112</f>
        <v>760</v>
      </c>
      <c r="T134" s="36" t="str">
        <f>CZ.V!T112</f>
        <v>.16-01</v>
      </c>
      <c r="U134" s="31" t="str">
        <f>CZ.V!U112</f>
        <v>l-shop</v>
      </c>
    </row>
    <row r="135" spans="1:21">
      <c r="A135" s="143" t="str">
        <f>'645'!A38</f>
        <v>Pentax</v>
      </c>
      <c r="B135" s="11" t="str">
        <f>'645'!B38</f>
        <v>SMC Pentax-A 645 35/3.5</v>
      </c>
      <c r="C135" s="16">
        <f>'645'!C38</f>
        <v>35</v>
      </c>
      <c r="D135" s="18" t="str">
        <f>'645'!D38</f>
        <v>3.5</v>
      </c>
      <c r="E135" s="31">
        <f>'645'!E38</f>
        <v>56</v>
      </c>
      <c r="F135" s="16" t="str">
        <f>'645'!F38</f>
        <v>P645</v>
      </c>
      <c r="G135" s="58">
        <f>'645'!G38</f>
        <v>0.3</v>
      </c>
      <c r="H135" s="53">
        <f>'645'!H38</f>
        <v>0.47</v>
      </c>
      <c r="I135" s="16">
        <f>'645'!I38</f>
        <v>67</v>
      </c>
      <c r="J135" s="16">
        <f>'645'!J38</f>
        <v>80</v>
      </c>
      <c r="K135" s="18">
        <f>'645'!K38</f>
        <v>77</v>
      </c>
      <c r="L135" s="25">
        <f>'645'!L38</f>
        <v>450.91666666666669</v>
      </c>
      <c r="M135" s="36" t="str">
        <f>'645'!M38</f>
        <v>.16-05</v>
      </c>
      <c r="N135" s="25">
        <f>'645'!N38</f>
        <v>584.66666666666663</v>
      </c>
      <c r="O135" s="73" t="str">
        <f>'645'!O38</f>
        <v>.16-05</v>
      </c>
      <c r="P135" s="25">
        <f>'645'!P38</f>
        <v>610</v>
      </c>
      <c r="Q135" s="36" t="str">
        <f>'645'!Q38</f>
        <v>.15-04</v>
      </c>
      <c r="R135" s="31" t="str">
        <f>'645'!R38</f>
        <v>ado</v>
      </c>
      <c r="S135" s="25" t="str">
        <f>'645'!S38</f>
        <v xml:space="preserve"> </v>
      </c>
      <c r="T135" s="36" t="str">
        <f>'645'!T38</f>
        <v xml:space="preserve"> </v>
      </c>
      <c r="U135" s="31" t="str">
        <f>'645'!U38</f>
        <v xml:space="preserve"> </v>
      </c>
    </row>
    <row r="136" spans="1:21">
      <c r="A136" s="144" t="str">
        <f>'645'!A39</f>
        <v>Pentax</v>
      </c>
      <c r="B136" s="22" t="str">
        <f>'645'!B39</f>
        <v>SMC Pentax-FA 645 35/3.5</v>
      </c>
      <c r="C136" s="27">
        <f>'645'!C39</f>
        <v>35</v>
      </c>
      <c r="D136" s="41" t="str">
        <f>'645'!D39</f>
        <v>3.5</v>
      </c>
      <c r="E136" s="33">
        <f>'645'!E39</f>
        <v>56</v>
      </c>
      <c r="F136" s="27" t="str">
        <f>'645'!F39</f>
        <v>P645</v>
      </c>
      <c r="G136" s="55">
        <f>'645'!G39</f>
        <v>0.3</v>
      </c>
      <c r="H136" s="56">
        <f>'645'!H39</f>
        <v>0.56000000000000005</v>
      </c>
      <c r="I136" s="27">
        <f>'645'!I39</f>
        <v>90</v>
      </c>
      <c r="J136" s="27">
        <f>'645'!J39</f>
        <v>88</v>
      </c>
      <c r="K136" s="41">
        <f>'645'!K39</f>
        <v>82</v>
      </c>
      <c r="L136" s="26">
        <f>'645'!L39</f>
        <v>944.08333333333337</v>
      </c>
      <c r="M136" s="24" t="str">
        <f>'645'!M39</f>
        <v>.16-03</v>
      </c>
      <c r="N136" s="26">
        <f>'645'!N39</f>
        <v>1161.75</v>
      </c>
      <c r="O136" s="124" t="str">
        <f>'645'!O39</f>
        <v>.15-11</v>
      </c>
      <c r="P136" s="26">
        <f>'645'!P39</f>
        <v>987.24</v>
      </c>
      <c r="Q136" s="24" t="str">
        <f>'645'!Q39</f>
        <v>.15-04</v>
      </c>
      <c r="R136" s="33" t="str">
        <f>'645'!R39</f>
        <v>ctc</v>
      </c>
      <c r="S136" s="26" t="str">
        <f>'645'!S39</f>
        <v xml:space="preserve"> </v>
      </c>
      <c r="T136" s="24" t="str">
        <f>'645'!T39</f>
        <v xml:space="preserve"> </v>
      </c>
      <c r="U136" s="33" t="str">
        <f>'645'!U39</f>
        <v xml:space="preserve"> </v>
      </c>
    </row>
    <row r="137" spans="1:21">
      <c r="A137" s="143" t="str">
        <f>CZ.V!A103</f>
        <v>Voigtlander</v>
      </c>
      <c r="B137" s="11" t="str">
        <f>CZ.V!B103</f>
        <v xml:space="preserve">40/2 Ultron Asp SL II </v>
      </c>
      <c r="C137" s="16">
        <f>CZ.V!C103</f>
        <v>40</v>
      </c>
      <c r="D137" s="18">
        <f>CZ.V!D103</f>
        <v>2</v>
      </c>
      <c r="E137" s="31">
        <f>CZ.V!E103</f>
        <v>64</v>
      </c>
      <c r="F137" s="16" t="str">
        <f>CZ.V!F103</f>
        <v>x</v>
      </c>
      <c r="G137" s="58">
        <f>CZ.V!G103</f>
        <v>0.38</v>
      </c>
      <c r="H137" s="53">
        <f>CZ.V!H103</f>
        <v>0.2</v>
      </c>
      <c r="I137" s="16">
        <f>CZ.V!I103</f>
        <v>24.5</v>
      </c>
      <c r="J137" s="16">
        <f>CZ.V!J103</f>
        <v>63</v>
      </c>
      <c r="K137" s="18">
        <f>CZ.V!K103</f>
        <v>52</v>
      </c>
      <c r="L137" s="25">
        <f>CZ.V!L103</f>
        <v>305.81818181818181</v>
      </c>
      <c r="M137" s="36" t="str">
        <f>CZ.V!M103</f>
        <v>.16-05</v>
      </c>
      <c r="N137" s="25">
        <f>CZ.V!N103</f>
        <v>379.81818181818181</v>
      </c>
      <c r="O137" s="73" t="str">
        <f>CZ.V!O103</f>
        <v>.16-04</v>
      </c>
      <c r="P137" s="25">
        <f>CZ.V!P103</f>
        <v>260</v>
      </c>
      <c r="Q137" s="36" t="str">
        <f>CZ.V!Q103</f>
        <v>.11-01</v>
      </c>
      <c r="R137" s="31" t="str">
        <f>CZ.V!R103</f>
        <v>b&amp;h</v>
      </c>
      <c r="S137" s="25">
        <f>CZ.V!S103</f>
        <v>300.2</v>
      </c>
      <c r="T137" s="36" t="str">
        <f>CZ.V!T103</f>
        <v>.16-05</v>
      </c>
      <c r="U137" s="31" t="str">
        <f>CZ.V!U103</f>
        <v>d'town</v>
      </c>
    </row>
    <row r="138" spans="1:21">
      <c r="A138" s="143" t="str">
        <f>LNOP!A80</f>
        <v>Olympus</v>
      </c>
      <c r="B138" s="11" t="str">
        <f>LNOP!B80</f>
        <v>Zuiko 40/2 Auto-S</v>
      </c>
      <c r="C138" s="16">
        <f>LNOP!C80</f>
        <v>40</v>
      </c>
      <c r="D138" s="18">
        <f>LNOP!D80</f>
        <v>2</v>
      </c>
      <c r="E138" s="31">
        <f>LNOP!E80</f>
        <v>64</v>
      </c>
      <c r="F138" s="16" t="str">
        <f>LNOP!F80</f>
        <v>OM</v>
      </c>
      <c r="G138" s="58">
        <f>LNOP!G80</f>
        <v>0.3</v>
      </c>
      <c r="H138" s="53">
        <f>LNOP!H80</f>
        <v>0.14000000000000001</v>
      </c>
      <c r="I138" s="16">
        <f>LNOP!I80</f>
        <v>25</v>
      </c>
      <c r="J138" s="16">
        <f>LNOP!J80</f>
        <v>60</v>
      </c>
      <c r="K138" s="18">
        <f>LNOP!K80</f>
        <v>49</v>
      </c>
      <c r="L138" s="25">
        <f>LNOP!L80</f>
        <v>320</v>
      </c>
      <c r="M138" s="36" t="str">
        <f>LNOP!M80</f>
        <v>.16-01</v>
      </c>
      <c r="N138" s="25">
        <f>LNOP!N80</f>
        <v>441.83333333333331</v>
      </c>
      <c r="O138" s="73" t="str">
        <f>LNOP!O80</f>
        <v>.16-01</v>
      </c>
      <c r="P138" s="25">
        <f>LNOP!P80</f>
        <v>415</v>
      </c>
      <c r="Q138" s="36" t="str">
        <f>LNOP!Q80</f>
        <v>.13-02</v>
      </c>
      <c r="R138" s="31" t="str">
        <f>LNOP!R80</f>
        <v>keh</v>
      </c>
      <c r="S138" s="25">
        <f>LNOP!S80</f>
        <v>450</v>
      </c>
      <c r="T138" s="36" t="str">
        <f>LNOP!T80</f>
        <v>.12-11</v>
      </c>
      <c r="U138" s="31" t="str">
        <f>LNOP!U80</f>
        <v>igor</v>
      </c>
    </row>
    <row r="139" spans="1:21">
      <c r="A139" s="144" t="str">
        <f>EFp!A24</f>
        <v>Canon</v>
      </c>
      <c r="B139" s="22" t="str">
        <f>EFp!B24</f>
        <v>EF 40/2.8 STM</v>
      </c>
      <c r="C139" s="27">
        <f>EFp!C24</f>
        <v>40</v>
      </c>
      <c r="D139" s="41">
        <f>EFp!D24</f>
        <v>2.8</v>
      </c>
      <c r="E139" s="33">
        <f>EFp!E24</f>
        <v>64</v>
      </c>
      <c r="F139" s="27" t="str">
        <f>EFp!F24</f>
        <v>EF</v>
      </c>
      <c r="G139" s="55">
        <f>EFp!G24</f>
        <v>0.3</v>
      </c>
      <c r="H139" s="56">
        <f>EFp!H24</f>
        <v>0.13</v>
      </c>
      <c r="I139" s="27">
        <f>EFp!I24</f>
        <v>22.9</v>
      </c>
      <c r="J139" s="27">
        <f>EFp!J24</f>
        <v>68.599999999999994</v>
      </c>
      <c r="K139" s="41">
        <f>EFp!K24</f>
        <v>52</v>
      </c>
      <c r="L139" s="26">
        <f>EFp!L24</f>
        <v>97.111111111111114</v>
      </c>
      <c r="M139" s="24" t="str">
        <f>EFp!M24</f>
        <v>.16-05</v>
      </c>
      <c r="N139" s="26">
        <f>EFp!N24</f>
        <v>111.38461538461539</v>
      </c>
      <c r="O139" s="124" t="str">
        <f>EFp!O24</f>
        <v>.16-05</v>
      </c>
      <c r="P139" s="26">
        <f>EFp!P24</f>
        <v>110</v>
      </c>
      <c r="Q139" s="24" t="str">
        <f>EFp!Q24</f>
        <v>.16-01</v>
      </c>
      <c r="R139" s="33" t="str">
        <f>EFp!R24</f>
        <v>keh</v>
      </c>
      <c r="S139" s="26">
        <f>EFp!S24</f>
        <v>115</v>
      </c>
      <c r="T139" s="24" t="str">
        <f>EFp!T24</f>
        <v>.16-01</v>
      </c>
      <c r="U139" s="33" t="str">
        <f>EFp!U24</f>
        <v>camW</v>
      </c>
    </row>
    <row r="140" spans="1:21">
      <c r="A140" s="143" t="str">
        <f>STT!A51</f>
        <v>Tamron</v>
      </c>
      <c r="B140" s="11" t="str">
        <f>STT!B51</f>
        <v>SP 45/1.8 Di VC</v>
      </c>
      <c r="C140" s="16">
        <f>STT!C51</f>
        <v>45</v>
      </c>
      <c r="D140" s="18">
        <f>STT!D51</f>
        <v>1.8</v>
      </c>
      <c r="E140" s="31">
        <f>STT!E51</f>
        <v>72</v>
      </c>
      <c r="F140" s="16" t="str">
        <f>STT!F51</f>
        <v>EF</v>
      </c>
      <c r="G140" s="58">
        <f>STT!G51</f>
        <v>0.28999999999999998</v>
      </c>
      <c r="H140" s="53">
        <f>STT!H51</f>
        <v>0.54400000000000004</v>
      </c>
      <c r="I140" s="16">
        <f>STT!I51</f>
        <v>91.4</v>
      </c>
      <c r="J140" s="16">
        <f>STT!J51</f>
        <v>80.400000000000006</v>
      </c>
      <c r="K140" s="18">
        <f>STT!K51</f>
        <v>67</v>
      </c>
      <c r="L140" s="25">
        <f>STT!L51</f>
        <v>0</v>
      </c>
      <c r="M140" s="36" t="str">
        <f>STT!M51</f>
        <v xml:space="preserve"> </v>
      </c>
      <c r="N140" s="25">
        <f>STT!N51</f>
        <v>500</v>
      </c>
      <c r="O140" s="73" t="str">
        <f>STT!O51</f>
        <v>.16-05</v>
      </c>
      <c r="P140" s="25" t="str">
        <f>STT!P51</f>
        <v xml:space="preserve"> </v>
      </c>
      <c r="Q140" s="36" t="str">
        <f>STT!Q51</f>
        <v xml:space="preserve"> </v>
      </c>
      <c r="R140" s="31" t="str">
        <f>STT!R51</f>
        <v xml:space="preserve"> </v>
      </c>
      <c r="S140" s="25">
        <f>STT!S51</f>
        <v>450</v>
      </c>
      <c r="T140" s="36" t="str">
        <f>STT!T51</f>
        <v>.16-01</v>
      </c>
      <c r="U140" s="31" t="str">
        <f>STT!U51</f>
        <v>ado</v>
      </c>
    </row>
    <row r="141" spans="1:21">
      <c r="A141" s="143" t="str">
        <f>EFp!A25</f>
        <v>Canon</v>
      </c>
      <c r="B141" s="11" t="str">
        <f>EFp!B25</f>
        <v xml:space="preserve">TS-E 45/2.8 </v>
      </c>
      <c r="C141" s="16">
        <f>EFp!C25</f>
        <v>45</v>
      </c>
      <c r="D141" s="18">
        <f>EFp!D25</f>
        <v>2.8</v>
      </c>
      <c r="E141" s="31">
        <f>EFp!E25</f>
        <v>72</v>
      </c>
      <c r="F141" s="16" t="str">
        <f>EFp!F25</f>
        <v>EFm</v>
      </c>
      <c r="G141" s="58">
        <f>EFp!G25</f>
        <v>0.4</v>
      </c>
      <c r="H141" s="53">
        <f>EFp!H25</f>
        <v>0.64500000000000002</v>
      </c>
      <c r="I141" s="16">
        <f>EFp!I25</f>
        <v>90.1</v>
      </c>
      <c r="J141" s="16">
        <f>EFp!J25</f>
        <v>81</v>
      </c>
      <c r="K141" s="18">
        <f>EFp!K25</f>
        <v>72</v>
      </c>
      <c r="L141" s="25">
        <f>EFp!L25</f>
        <v>768.1</v>
      </c>
      <c r="M141" s="36" t="str">
        <f>EFp!M25</f>
        <v>.16-04</v>
      </c>
      <c r="N141" s="25">
        <f>EFp!N25</f>
        <v>943.66666666666663</v>
      </c>
      <c r="O141" s="73" t="str">
        <f>EFp!O25</f>
        <v>.16-05</v>
      </c>
      <c r="P141" s="25">
        <f>EFp!P25</f>
        <v>920</v>
      </c>
      <c r="Q141" s="36" t="str">
        <f>EFp!Q25</f>
        <v>.16-01</v>
      </c>
      <c r="R141" s="31" t="str">
        <f>EFp!R25</f>
        <v>keh</v>
      </c>
      <c r="S141" s="25">
        <f>EFp!S25</f>
        <v>1080</v>
      </c>
      <c r="T141" s="36" t="str">
        <f>EFp!T25</f>
        <v>.15-04</v>
      </c>
      <c r="U141" s="31" t="str">
        <f>EFp!U25</f>
        <v>keh</v>
      </c>
    </row>
    <row r="142" spans="1:21">
      <c r="A142" s="143" t="str">
        <f>CZ.V!A41</f>
        <v>Carl Zeiss</v>
      </c>
      <c r="B142" s="11" t="str">
        <f>CZ.V!B41</f>
        <v>Tessar T* 45/2.8 CY</v>
      </c>
      <c r="C142" s="16">
        <f>CZ.V!C41</f>
        <v>45</v>
      </c>
      <c r="D142" s="18">
        <f>CZ.V!D41</f>
        <v>2.8</v>
      </c>
      <c r="E142" s="31">
        <f>CZ.V!E41</f>
        <v>72</v>
      </c>
      <c r="F142" s="16" t="str">
        <f>CZ.V!F41</f>
        <v>CY</v>
      </c>
      <c r="G142" s="58">
        <f>CZ.V!G41</f>
        <v>0.6</v>
      </c>
      <c r="H142" s="53">
        <f>CZ.V!H41</f>
        <v>0.09</v>
      </c>
      <c r="I142" s="16">
        <f>CZ.V!I41</f>
        <v>18</v>
      </c>
      <c r="J142" s="16">
        <f>CZ.V!J41</f>
        <v>58</v>
      </c>
      <c r="K142" s="18">
        <f>CZ.V!K41</f>
        <v>49</v>
      </c>
      <c r="L142" s="25">
        <f>CZ.V!L41</f>
        <v>181.375</v>
      </c>
      <c r="M142" s="36" t="str">
        <f>CZ.V!M41</f>
        <v>.16-05</v>
      </c>
      <c r="N142" s="25">
        <f>CZ.V!N41</f>
        <v>233.3</v>
      </c>
      <c r="O142" s="73" t="str">
        <f>CZ.V!O41</f>
        <v>.16-05</v>
      </c>
      <c r="P142" s="25">
        <f>CZ.V!P41</f>
        <v>248</v>
      </c>
      <c r="Q142" s="36" t="str">
        <f>CZ.V!Q41</f>
        <v>.16-05</v>
      </c>
      <c r="R142" s="31" t="str">
        <f>CZ.V!R41</f>
        <v>keh</v>
      </c>
      <c r="S142" s="25">
        <f>CZ.V!S41</f>
        <v>290</v>
      </c>
      <c r="T142" s="36" t="str">
        <f>CZ.V!T41</f>
        <v>.16-05</v>
      </c>
      <c r="U142" s="31" t="str">
        <f>CZ.V!U41</f>
        <v>keh</v>
      </c>
    </row>
    <row r="143" spans="1:21">
      <c r="A143" s="144" t="str">
        <f>'645'!A9</f>
        <v>Mamiya</v>
      </c>
      <c r="B143" s="22" t="str">
        <f>'645'!B9</f>
        <v>Mamiya-Sekor C 45/2.8 N</v>
      </c>
      <c r="C143" s="27">
        <f>'645'!C9</f>
        <v>45</v>
      </c>
      <c r="D143" s="41" t="str">
        <f>'645'!D9</f>
        <v>2.8</v>
      </c>
      <c r="E143" s="33">
        <f>'645'!E9</f>
        <v>72</v>
      </c>
      <c r="F143" s="27" t="str">
        <f>'645'!F9</f>
        <v>M645</v>
      </c>
      <c r="G143" s="55">
        <f>'645'!G9</f>
        <v>0.45</v>
      </c>
      <c r="H143" s="56">
        <f>'645'!H9</f>
        <v>0.47499999999999998</v>
      </c>
      <c r="I143" s="27">
        <f>'645'!I9</f>
        <v>70</v>
      </c>
      <c r="J143" s="27">
        <f>'645'!J9</f>
        <v>70.5</v>
      </c>
      <c r="K143" s="41">
        <f>'645'!K9</f>
        <v>67</v>
      </c>
      <c r="L143" s="26">
        <f>'645'!L9</f>
        <v>138.1</v>
      </c>
      <c r="M143" s="24" t="str">
        <f>'645'!M9</f>
        <v>.16-05</v>
      </c>
      <c r="N143" s="26">
        <f>'645'!N9</f>
        <v>197.5</v>
      </c>
      <c r="O143" s="124" t="str">
        <f>'645'!O9</f>
        <v>.16-04</v>
      </c>
      <c r="P143" s="26">
        <f>'645'!P9</f>
        <v>200</v>
      </c>
      <c r="Q143" s="24" t="str">
        <f>'645'!Q9</f>
        <v>.16-01</v>
      </c>
      <c r="R143" s="33" t="str">
        <f>'645'!R9</f>
        <v>keh</v>
      </c>
      <c r="S143" s="26">
        <f>'645'!S9</f>
        <v>380</v>
      </c>
      <c r="T143" s="24" t="str">
        <f>'645'!T9</f>
        <v>.13-07</v>
      </c>
      <c r="U143" s="33" t="str">
        <f>'645'!U9</f>
        <v>b&amp;h</v>
      </c>
    </row>
    <row r="144" spans="1:21">
      <c r="A144" s="143" t="str">
        <f>EFp!A26</f>
        <v>Canon</v>
      </c>
      <c r="B144" s="11" t="str">
        <f>EFp!B26</f>
        <v xml:space="preserve">EF 50/1.0 L USM </v>
      </c>
      <c r="C144" s="16">
        <f>EFp!C26</f>
        <v>50</v>
      </c>
      <c r="D144" s="18">
        <f>EFp!D26</f>
        <v>1</v>
      </c>
      <c r="E144" s="31">
        <f>EFp!E26</f>
        <v>80</v>
      </c>
      <c r="F144" s="16" t="str">
        <f>EFp!F26</f>
        <v>EF</v>
      </c>
      <c r="G144" s="58">
        <f>EFp!G26</f>
        <v>0.6</v>
      </c>
      <c r="H144" s="53">
        <f>EFp!H26</f>
        <v>0.98499999999999999</v>
      </c>
      <c r="I144" s="16">
        <f>EFp!I26</f>
        <v>81.5</v>
      </c>
      <c r="J144" s="16">
        <f>EFp!J26</f>
        <v>91.5</v>
      </c>
      <c r="K144" s="18">
        <f>EFp!K26</f>
        <v>72</v>
      </c>
      <c r="L144" s="25">
        <f>EFp!L26</f>
        <v>3446.4285714285716</v>
      </c>
      <c r="M144" s="36" t="str">
        <f>EFp!M26</f>
        <v>.16-05</v>
      </c>
      <c r="N144" s="25">
        <f>EFp!N26</f>
        <v>4318.1428571428569</v>
      </c>
      <c r="O144" s="73" t="str">
        <f>EFp!O26</f>
        <v>.16-04</v>
      </c>
      <c r="P144" s="25">
        <f>EFp!P26</f>
        <v>3390</v>
      </c>
      <c r="Q144" s="36" t="str">
        <f>EFp!Q26</f>
        <v>.14-02</v>
      </c>
      <c r="R144" s="31" t="str">
        <f>EFp!R26</f>
        <v>keh</v>
      </c>
      <c r="S144" s="25">
        <f>EFp!S26</f>
        <v>4200</v>
      </c>
      <c r="T144" s="36" t="str">
        <f>EFp!T26</f>
        <v>.13-04</v>
      </c>
      <c r="U144" s="31" t="str">
        <f>EFp!U26</f>
        <v>cameta</v>
      </c>
    </row>
    <row r="145" spans="1:21">
      <c r="A145" s="143" t="str">
        <f>EFp!A27</f>
        <v>Canon</v>
      </c>
      <c r="B145" s="11" t="str">
        <f>EFp!B27</f>
        <v>EF 50/1.2 L USM</v>
      </c>
      <c r="C145" s="16">
        <f>EFp!C27</f>
        <v>50</v>
      </c>
      <c r="D145" s="18">
        <f>EFp!D27</f>
        <v>1.2</v>
      </c>
      <c r="E145" s="31">
        <f>EFp!E27</f>
        <v>80</v>
      </c>
      <c r="F145" s="16" t="str">
        <f>EFp!F27</f>
        <v>EF</v>
      </c>
      <c r="G145" s="58">
        <f>EFp!G27</f>
        <v>0.45</v>
      </c>
      <c r="H145" s="53">
        <f>EFp!H27</f>
        <v>0.54500000000000004</v>
      </c>
      <c r="I145" s="16">
        <f>EFp!I27</f>
        <v>65</v>
      </c>
      <c r="J145" s="16">
        <f>EFp!J27</f>
        <v>85</v>
      </c>
      <c r="K145" s="18">
        <f>EFp!K27</f>
        <v>72</v>
      </c>
      <c r="L145" s="25">
        <f>EFp!L27</f>
        <v>935.88888888888891</v>
      </c>
      <c r="M145" s="36" t="str">
        <f>EFp!M27</f>
        <v>.16-05</v>
      </c>
      <c r="N145" s="25">
        <f>EFp!N27</f>
        <v>1123.3</v>
      </c>
      <c r="O145" s="73" t="str">
        <f>EFp!O27</f>
        <v>.16-05</v>
      </c>
      <c r="P145" s="25">
        <f>EFp!P27</f>
        <v>995</v>
      </c>
      <c r="Q145" s="36" t="str">
        <f>EFp!Q27</f>
        <v>.15-11</v>
      </c>
      <c r="R145" s="31" t="str">
        <f>EFp!R27</f>
        <v>camW</v>
      </c>
      <c r="S145" s="25">
        <f>EFp!S27</f>
        <v>1075</v>
      </c>
      <c r="T145" s="36" t="str">
        <f>EFp!T27</f>
        <v>.16-01</v>
      </c>
      <c r="U145" s="31" t="str">
        <f>EFp!U27</f>
        <v>igor</v>
      </c>
    </row>
    <row r="146" spans="1:21">
      <c r="A146" s="143" t="str">
        <f>LNOP!A51</f>
        <v>Nikon</v>
      </c>
      <c r="B146" s="11" t="str">
        <f>LNOP!B51</f>
        <v>Nikkor 50/1.2 AIS</v>
      </c>
      <c r="C146" s="16">
        <f>LNOP!C51</f>
        <v>50</v>
      </c>
      <c r="D146" s="18">
        <f>LNOP!D51</f>
        <v>1.2</v>
      </c>
      <c r="E146" s="31">
        <f>LNOP!E51</f>
        <v>80</v>
      </c>
      <c r="F146" s="16" t="str">
        <f>LNOP!F51</f>
        <v>AIS</v>
      </c>
      <c r="G146" s="58">
        <f>LNOP!G51</f>
        <v>0.5</v>
      </c>
      <c r="H146" s="53">
        <f>LNOP!H51</f>
        <v>0.41</v>
      </c>
      <c r="I146" s="16">
        <f>LNOP!I51</f>
        <v>49.5</v>
      </c>
      <c r="J146" s="16">
        <f>LNOP!J51</f>
        <v>72</v>
      </c>
      <c r="K146" s="18">
        <f>LNOP!K51</f>
        <v>52</v>
      </c>
      <c r="L146" s="25">
        <f>LNOP!L51</f>
        <v>330.22222222222223</v>
      </c>
      <c r="M146" s="36" t="str">
        <f>LNOP!M51</f>
        <v>.16-05</v>
      </c>
      <c r="N146" s="25">
        <f>LNOP!N51</f>
        <v>426.88888888888891</v>
      </c>
      <c r="O146" s="73" t="str">
        <f>LNOP!O51</f>
        <v>.16-04</v>
      </c>
      <c r="P146" s="25">
        <f>LNOP!P51</f>
        <v>460</v>
      </c>
      <c r="Q146" s="36" t="str">
        <f>LNOP!Q51</f>
        <v>.16-01</v>
      </c>
      <c r="R146" s="31" t="str">
        <f>LNOP!R51</f>
        <v>b&amp;h</v>
      </c>
      <c r="S146" s="25">
        <f>LNOP!S51</f>
        <v>425</v>
      </c>
      <c r="T146" s="36" t="str">
        <f>LNOP!T51</f>
        <v>.15-11</v>
      </c>
      <c r="U146" s="31" t="str">
        <f>LNOP!U51</f>
        <v>camW</v>
      </c>
    </row>
    <row r="147" spans="1:21">
      <c r="A147" s="143" t="str">
        <f>LNOP!A81</f>
        <v>Olympus</v>
      </c>
      <c r="B147" s="11" t="str">
        <f>LNOP!B81</f>
        <v>Zuiko 50/1.2 Auto-S</v>
      </c>
      <c r="C147" s="16">
        <f>LNOP!C81</f>
        <v>50</v>
      </c>
      <c r="D147" s="18">
        <f>LNOP!D81</f>
        <v>1.2</v>
      </c>
      <c r="E147" s="31">
        <f>LNOP!E81</f>
        <v>80</v>
      </c>
      <c r="F147" s="16" t="str">
        <f>LNOP!F81</f>
        <v>OM</v>
      </c>
      <c r="G147" s="58">
        <f>LNOP!G81</f>
        <v>0.45</v>
      </c>
      <c r="H147" s="53">
        <f>LNOP!H81</f>
        <v>0.28499999999999998</v>
      </c>
      <c r="I147" s="16">
        <f>LNOP!I81</f>
        <v>43</v>
      </c>
      <c r="J147" s="16">
        <f>LNOP!J81</f>
        <v>65</v>
      </c>
      <c r="K147" s="18">
        <f>LNOP!K81</f>
        <v>49</v>
      </c>
      <c r="L147" s="25">
        <f>LNOP!L81</f>
        <v>410.7</v>
      </c>
      <c r="M147" s="36" t="str">
        <f>LNOP!M81</f>
        <v>.16-05</v>
      </c>
      <c r="N147" s="25">
        <f>LNOP!N81</f>
        <v>611.1</v>
      </c>
      <c r="O147" s="73" t="str">
        <f>LNOP!O81</f>
        <v>.16-01</v>
      </c>
      <c r="P147" s="25">
        <f>LNOP!P81</f>
        <v>490</v>
      </c>
      <c r="Q147" s="36" t="str">
        <f>LNOP!Q81</f>
        <v>.15-03</v>
      </c>
      <c r="R147" s="31" t="str">
        <f>LNOP!R81</f>
        <v>b&amp;h</v>
      </c>
      <c r="S147" s="25">
        <f>LNOP!S81</f>
        <v>850</v>
      </c>
      <c r="T147" s="36" t="str">
        <f>LNOP!T81</f>
        <v>.14-08</v>
      </c>
      <c r="U147" s="31" t="str">
        <f>LNOP!U81</f>
        <v>kevin</v>
      </c>
    </row>
    <row r="148" spans="1:21">
      <c r="A148" s="143" t="str">
        <f>LNOP!A124</f>
        <v>Pentax</v>
      </c>
      <c r="B148" s="11" t="str">
        <f>LNOP!B124</f>
        <v>SMC Pentax 50/1.2</v>
      </c>
      <c r="C148" s="16">
        <f>LNOP!C124</f>
        <v>50</v>
      </c>
      <c r="D148" s="18">
        <f>LNOP!D124</f>
        <v>1.2</v>
      </c>
      <c r="E148" s="31">
        <f>LNOP!E124</f>
        <v>80</v>
      </c>
      <c r="F148" s="16" t="str">
        <f>LNOP!F124</f>
        <v>K</v>
      </c>
      <c r="G148" s="58">
        <f>LNOP!G124</f>
        <v>0.45</v>
      </c>
      <c r="H148" s="53">
        <f>LNOP!H124</f>
        <v>0.38500000000000001</v>
      </c>
      <c r="I148" s="16">
        <f>LNOP!I124</f>
        <v>49</v>
      </c>
      <c r="J148" s="16">
        <f>LNOP!J124</f>
        <v>65</v>
      </c>
      <c r="K148" s="18">
        <f>LNOP!K124</f>
        <v>52</v>
      </c>
      <c r="L148" s="25">
        <f>LNOP!L124</f>
        <v>294.5</v>
      </c>
      <c r="M148" s="36" t="str">
        <f>LNOP!M124</f>
        <v>.16-04</v>
      </c>
      <c r="N148" s="25">
        <f>LNOP!N124</f>
        <v>393</v>
      </c>
      <c r="O148" s="73" t="str">
        <f>LNOP!O124</f>
        <v>.16-05</v>
      </c>
      <c r="P148" s="25">
        <f>LNOP!P124</f>
        <v>400</v>
      </c>
      <c r="Q148" s="36" t="str">
        <f>LNOP!Q124</f>
        <v>.15-04</v>
      </c>
      <c r="R148" s="31" t="str">
        <f>LNOP!R124</f>
        <v>keh</v>
      </c>
      <c r="S148" s="25">
        <f>LNOP!S124</f>
        <v>600</v>
      </c>
      <c r="T148" s="36" t="str">
        <f>LNOP!T124</f>
        <v>.13-08</v>
      </c>
      <c r="U148" s="31" t="str">
        <f>LNOP!U124</f>
        <v>b&amp;h</v>
      </c>
    </row>
    <row r="149" spans="1:21">
      <c r="A149" s="143" t="str">
        <f>LNOP!A125</f>
        <v>Pentax</v>
      </c>
      <c r="B149" s="11" t="str">
        <f>LNOP!B125</f>
        <v>SMC Pentax-A 50/1.2</v>
      </c>
      <c r="C149" s="16">
        <f>LNOP!C125</f>
        <v>50</v>
      </c>
      <c r="D149" s="18">
        <f>LNOP!D125</f>
        <v>1.2</v>
      </c>
      <c r="E149" s="31">
        <f>LNOP!E125</f>
        <v>80</v>
      </c>
      <c r="F149" s="16" t="str">
        <f>LNOP!F125</f>
        <v>KA</v>
      </c>
      <c r="G149" s="58">
        <f>LNOP!G125</f>
        <v>0.45</v>
      </c>
      <c r="H149" s="53">
        <f>LNOP!H125</f>
        <v>0.34499999999999997</v>
      </c>
      <c r="I149" s="16">
        <f>LNOP!I125</f>
        <v>49</v>
      </c>
      <c r="J149" s="16">
        <f>LNOP!J125</f>
        <v>65</v>
      </c>
      <c r="K149" s="18">
        <f>LNOP!K125</f>
        <v>52</v>
      </c>
      <c r="L149" s="25">
        <f>LNOP!L125</f>
        <v>432.25</v>
      </c>
      <c r="M149" s="36" t="str">
        <f>LNOP!M125</f>
        <v>.14-10</v>
      </c>
      <c r="N149" s="25">
        <f>LNOP!N125</f>
        <v>583.79999999999995</v>
      </c>
      <c r="O149" s="73" t="str">
        <f>LNOP!O125</f>
        <v>.16-04</v>
      </c>
      <c r="P149" s="25">
        <f>LNOP!P125</f>
        <v>531.24</v>
      </c>
      <c r="Q149" s="36" t="str">
        <f>LNOP!Q125</f>
        <v>.15-11</v>
      </c>
      <c r="R149" s="31" t="str">
        <f>LNOP!R125</f>
        <v>ctc</v>
      </c>
      <c r="S149" s="25" t="str">
        <f>LNOP!S125</f>
        <v xml:space="preserve"> </v>
      </c>
      <c r="T149" s="36" t="str">
        <f>LNOP!T125</f>
        <v xml:space="preserve"> </v>
      </c>
      <c r="U149" s="31" t="str">
        <f>LNOP!U125</f>
        <v xml:space="preserve"> </v>
      </c>
    </row>
    <row r="150" spans="1:21">
      <c r="A150" s="143" t="str">
        <f>EFp!A28</f>
        <v>Canon</v>
      </c>
      <c r="B150" s="11" t="str">
        <f>EFp!B28</f>
        <v xml:space="preserve">EF 50/1.4 USM </v>
      </c>
      <c r="C150" s="16">
        <f>EFp!C28</f>
        <v>50</v>
      </c>
      <c r="D150" s="18">
        <f>EFp!D28</f>
        <v>1.4</v>
      </c>
      <c r="E150" s="31">
        <f>EFp!E28</f>
        <v>80</v>
      </c>
      <c r="F150" s="16" t="str">
        <f>EFp!F28</f>
        <v>EF</v>
      </c>
      <c r="G150" s="58">
        <f>EFp!G28</f>
        <v>0.45</v>
      </c>
      <c r="H150" s="53">
        <f>EFp!H28</f>
        <v>0.28999999999999998</v>
      </c>
      <c r="I150" s="16">
        <f>EFp!I28</f>
        <v>51</v>
      </c>
      <c r="J150" s="16">
        <f>EFp!J28</f>
        <v>73.8</v>
      </c>
      <c r="K150" s="18">
        <f>EFp!K28</f>
        <v>58</v>
      </c>
      <c r="L150" s="25">
        <f>EFp!L28</f>
        <v>206.22222222222223</v>
      </c>
      <c r="M150" s="36" t="str">
        <f>EFp!M28</f>
        <v>.16-05</v>
      </c>
      <c r="N150" s="25">
        <f>EFp!N28</f>
        <v>262.09090909090907</v>
      </c>
      <c r="O150" s="73" t="str">
        <f>EFp!O28</f>
        <v>.16-05</v>
      </c>
      <c r="P150" s="25">
        <f>EFp!P28</f>
        <v>219.64000000000001</v>
      </c>
      <c r="Q150" s="36" t="str">
        <f>EFp!Q28</f>
        <v>.16-03</v>
      </c>
      <c r="R150" s="31" t="str">
        <f>EFp!R28</f>
        <v>ctc</v>
      </c>
      <c r="S150" s="25">
        <f>EFp!S28</f>
        <v>290</v>
      </c>
      <c r="T150" s="36" t="str">
        <f>EFp!T28</f>
        <v>.16-01</v>
      </c>
      <c r="U150" s="31" t="str">
        <f>EFp!U28</f>
        <v>keh</v>
      </c>
    </row>
    <row r="151" spans="1:21">
      <c r="A151" s="143" t="str">
        <f>STT!A14</f>
        <v>Sigma</v>
      </c>
      <c r="B151" s="11" t="str">
        <f>STT!B14</f>
        <v>EX 50/1.4 DG HSM</v>
      </c>
      <c r="C151" s="16">
        <f>STT!C14</f>
        <v>50</v>
      </c>
      <c r="D151" s="18">
        <f>STT!D14</f>
        <v>1.4</v>
      </c>
      <c r="E151" s="31">
        <f>STT!E14</f>
        <v>80</v>
      </c>
      <c r="F151" s="16" t="str">
        <f>STT!F14</f>
        <v>EF</v>
      </c>
      <c r="G151" s="58">
        <f>STT!G14</f>
        <v>0.45</v>
      </c>
      <c r="H151" s="53">
        <f>STT!H14</f>
        <v>0.505</v>
      </c>
      <c r="I151" s="16">
        <f>STT!I14</f>
        <v>68</v>
      </c>
      <c r="J151" s="16">
        <f>STT!J14</f>
        <v>85</v>
      </c>
      <c r="K151" s="18">
        <f>STT!K14</f>
        <v>77</v>
      </c>
      <c r="L151" s="25">
        <f>STT!L14</f>
        <v>250.66666666666666</v>
      </c>
      <c r="M151" s="36" t="str">
        <f>STT!M14</f>
        <v>.16-05</v>
      </c>
      <c r="N151" s="25">
        <f>STT!N14</f>
        <v>344.4</v>
      </c>
      <c r="O151" s="73" t="str">
        <f>STT!O14</f>
        <v>.16-05</v>
      </c>
      <c r="P151" s="25">
        <f>STT!P14</f>
        <v>350</v>
      </c>
      <c r="Q151" s="36" t="str">
        <f>STT!Q14</f>
        <v>.15-11</v>
      </c>
      <c r="R151" s="31" t="str">
        <f>STT!R14</f>
        <v>ado</v>
      </c>
      <c r="S151" s="25">
        <f>STT!S14</f>
        <v>350</v>
      </c>
      <c r="T151" s="36" t="str">
        <f>STT!T14</f>
        <v>.15-04</v>
      </c>
      <c r="U151" s="31" t="str">
        <f>STT!U14</f>
        <v>LA</v>
      </c>
    </row>
    <row r="152" spans="1:21">
      <c r="A152" s="143" t="str">
        <f>STT!A15</f>
        <v>Sigma</v>
      </c>
      <c r="B152" s="11" t="str">
        <f>STT!B15</f>
        <v>EX 50/1.4 DG HSM Art</v>
      </c>
      <c r="C152" s="16">
        <f>STT!C15</f>
        <v>50</v>
      </c>
      <c r="D152" s="18">
        <f>STT!D15</f>
        <v>1.4</v>
      </c>
      <c r="E152" s="31">
        <f>STT!E15</f>
        <v>80</v>
      </c>
      <c r="F152" s="16" t="str">
        <f>STT!F15</f>
        <v>EF</v>
      </c>
      <c r="G152" s="58">
        <f>STT!G15</f>
        <v>0.4</v>
      </c>
      <c r="H152" s="53">
        <f>STT!H15</f>
        <v>0.81499999999999995</v>
      </c>
      <c r="I152" s="16">
        <f>STT!I15</f>
        <v>99.9</v>
      </c>
      <c r="J152" s="16">
        <f>STT!J15</f>
        <v>85.4</v>
      </c>
      <c r="K152" s="18">
        <f>STT!K15</f>
        <v>77</v>
      </c>
      <c r="L152" s="25">
        <f>STT!L15</f>
        <v>649.14285714285711</v>
      </c>
      <c r="M152" s="36" t="str">
        <f>STT!M15</f>
        <v>.16-05</v>
      </c>
      <c r="N152" s="25">
        <f>STT!N15</f>
        <v>733.4</v>
      </c>
      <c r="O152" s="73" t="str">
        <f>STT!O15</f>
        <v>.16-05</v>
      </c>
      <c r="P152" s="25" t="str">
        <f>STT!P15</f>
        <v xml:space="preserve"> </v>
      </c>
      <c r="Q152" s="36" t="str">
        <f>STT!Q15</f>
        <v xml:space="preserve"> </v>
      </c>
      <c r="R152" s="31" t="str">
        <f>STT!R15</f>
        <v xml:space="preserve"> </v>
      </c>
      <c r="S152" s="25">
        <f>STT!S15</f>
        <v>950</v>
      </c>
      <c r="T152" s="36" t="str">
        <f>STT!T15</f>
        <v>.14-07</v>
      </c>
      <c r="U152" s="31" t="str">
        <f>STT!U15</f>
        <v>b&amp;h</v>
      </c>
    </row>
    <row r="153" spans="1:21">
      <c r="A153" s="143" t="str">
        <f>CZ.V!A9</f>
        <v>Carl Zeiss</v>
      </c>
      <c r="B153" s="11" t="str">
        <f>CZ.V!B9</f>
        <v>Milvus T* 50/1.4 ZE</v>
      </c>
      <c r="C153" s="16">
        <f>CZ.V!C9</f>
        <v>50</v>
      </c>
      <c r="D153" s="18">
        <f>CZ.V!D9</f>
        <v>1.4</v>
      </c>
      <c r="E153" s="31">
        <f>CZ.V!E9</f>
        <v>80</v>
      </c>
      <c r="F153" s="16" t="str">
        <f>CZ.V!F9</f>
        <v>ZE</v>
      </c>
      <c r="G153" s="58">
        <f>CZ.V!G9</f>
        <v>0.45</v>
      </c>
      <c r="H153" s="53">
        <f>CZ.V!H9</f>
        <v>0.92200000000000004</v>
      </c>
      <c r="I153" s="16">
        <f>CZ.V!I9</f>
        <v>97.5</v>
      </c>
      <c r="J153" s="16">
        <f>CZ.V!J9</f>
        <v>82.5</v>
      </c>
      <c r="K153" s="18">
        <f>CZ.V!K9</f>
        <v>67</v>
      </c>
      <c r="L153" s="25">
        <f>CZ.V!L9</f>
        <v>0</v>
      </c>
      <c r="M153" s="36" t="str">
        <f>CZ.V!M9</f>
        <v xml:space="preserve"> </v>
      </c>
      <c r="N153" s="25">
        <f>CZ.V!N9</f>
        <v>1209.3333333333333</v>
      </c>
      <c r="O153" s="73" t="str">
        <f>CZ.V!O9</f>
        <v>.16-05</v>
      </c>
      <c r="P153" s="25" t="str">
        <f>CZ.V!P9</f>
        <v xml:space="preserve"> </v>
      </c>
      <c r="Q153" s="36" t="str">
        <f>CZ.V!Q9</f>
        <v xml:space="preserve"> </v>
      </c>
      <c r="R153" s="31" t="str">
        <f>CZ.V!R9</f>
        <v xml:space="preserve"> </v>
      </c>
      <c r="S153" s="25">
        <f>CZ.V!S9</f>
        <v>1200</v>
      </c>
      <c r="T153" s="36" t="str">
        <f>CZ.V!T9</f>
        <v>.15-09</v>
      </c>
      <c r="U153" s="31" t="str">
        <f>CZ.V!U9</f>
        <v>b&amp;h</v>
      </c>
    </row>
    <row r="154" spans="1:21">
      <c r="A154" s="143" t="str">
        <f>CZ.V!A25</f>
        <v>Carl Zeiss</v>
      </c>
      <c r="B154" s="11" t="str">
        <f>CZ.V!B25</f>
        <v>Planar T* 50/1.4 ZE</v>
      </c>
      <c r="C154" s="16">
        <f>CZ.V!C25</f>
        <v>50</v>
      </c>
      <c r="D154" s="18">
        <f>CZ.V!D25</f>
        <v>1.4</v>
      </c>
      <c r="E154" s="31">
        <f>CZ.V!E25</f>
        <v>80</v>
      </c>
      <c r="F154" s="16" t="str">
        <f>CZ.V!F25</f>
        <v>ZE</v>
      </c>
      <c r="G154" s="58">
        <f>CZ.V!G25</f>
        <v>0.45</v>
      </c>
      <c r="H154" s="53">
        <f>CZ.V!H25</f>
        <v>0.38</v>
      </c>
      <c r="I154" s="16">
        <f>CZ.V!I25</f>
        <v>48</v>
      </c>
      <c r="J154" s="16">
        <f>CZ.V!J25</f>
        <v>71.3</v>
      </c>
      <c r="K154" s="18">
        <f>CZ.V!K25</f>
        <v>58</v>
      </c>
      <c r="L154" s="25">
        <f>CZ.V!L25</f>
        <v>395.36363636363637</v>
      </c>
      <c r="M154" s="36" t="str">
        <f>CZ.V!M25</f>
        <v>.16-05</v>
      </c>
      <c r="N154" s="25">
        <f>CZ.V!N25</f>
        <v>514.6</v>
      </c>
      <c r="O154" s="73" t="str">
        <f>CZ.V!O25</f>
        <v>.16-05</v>
      </c>
      <c r="P154" s="25">
        <f>CZ.V!P25</f>
        <v>500</v>
      </c>
      <c r="Q154" s="36" t="str">
        <f>CZ.V!Q25</f>
        <v>.16-01</v>
      </c>
      <c r="R154" s="31" t="str">
        <f>CZ.V!R25</f>
        <v>b&amp;h</v>
      </c>
      <c r="S154" s="25">
        <f>CZ.V!S25</f>
        <v>395</v>
      </c>
      <c r="T154" s="36" t="str">
        <f>CZ.V!T25</f>
        <v>.16-01</v>
      </c>
      <c r="U154" s="31" t="str">
        <f>CZ.V!U25</f>
        <v>igor</v>
      </c>
    </row>
    <row r="155" spans="1:21">
      <c r="A155" s="143" t="str">
        <f>CZ.V!A42</f>
        <v>Carl Zeiss</v>
      </c>
      <c r="B155" s="11" t="str">
        <f>CZ.V!B42</f>
        <v>Planar T* 50/1.4 CY</v>
      </c>
      <c r="C155" s="16">
        <f>CZ.V!C42</f>
        <v>50</v>
      </c>
      <c r="D155" s="18">
        <f>CZ.V!D42</f>
        <v>1.4</v>
      </c>
      <c r="E155" s="31">
        <f>CZ.V!E42</f>
        <v>80</v>
      </c>
      <c r="F155" s="16" t="str">
        <f>CZ.V!F42</f>
        <v>CY</v>
      </c>
      <c r="G155" s="58">
        <f>CZ.V!G42</f>
        <v>0.45</v>
      </c>
      <c r="H155" s="53">
        <f>CZ.V!H42</f>
        <v>0.28999999999999998</v>
      </c>
      <c r="I155" s="16">
        <f>CZ.V!I42</f>
        <v>41</v>
      </c>
      <c r="J155" s="16">
        <f>CZ.V!J42</f>
        <v>62.5</v>
      </c>
      <c r="K155" s="18">
        <f>CZ.V!K42</f>
        <v>55</v>
      </c>
      <c r="L155" s="25">
        <f>CZ.V!L42</f>
        <v>233.1</v>
      </c>
      <c r="M155" s="36" t="str">
        <f>CZ.V!M42</f>
        <v>.16-05</v>
      </c>
      <c r="N155" s="25">
        <f>CZ.V!N42</f>
        <v>343.11111111111109</v>
      </c>
      <c r="O155" s="73" t="str">
        <f>CZ.V!O42</f>
        <v>.16-05</v>
      </c>
      <c r="P155" s="25">
        <f>CZ.V!P42</f>
        <v>328</v>
      </c>
      <c r="Q155" s="36" t="str">
        <f>CZ.V!Q42</f>
        <v>.16-05</v>
      </c>
      <c r="R155" s="31" t="str">
        <f>CZ.V!R42</f>
        <v>keh</v>
      </c>
      <c r="S155" s="25">
        <f>CZ.V!S42</f>
        <v>375</v>
      </c>
      <c r="T155" s="36" t="str">
        <f>CZ.V!T42</f>
        <v>.15-11</v>
      </c>
      <c r="U155" s="31" t="str">
        <f>CZ.V!U42</f>
        <v>camW</v>
      </c>
    </row>
    <row r="156" spans="1:21">
      <c r="A156" s="143" t="str">
        <f>CZ.V!A75</f>
        <v>Carl Zeiss</v>
      </c>
      <c r="B156" s="11" t="str">
        <f>CZ.V!B75</f>
        <v>Planar T* 50/1.4 N</v>
      </c>
      <c r="C156" s="16">
        <f>CZ.V!C75</f>
        <v>50</v>
      </c>
      <c r="D156" s="18">
        <f>CZ.V!D75</f>
        <v>1.4</v>
      </c>
      <c r="E156" s="31">
        <f>CZ.V!E75</f>
        <v>80</v>
      </c>
      <c r="F156" s="16" t="str">
        <f>CZ.V!F75</f>
        <v>N</v>
      </c>
      <c r="G156" s="58">
        <f>CZ.V!G75</f>
        <v>0.45</v>
      </c>
      <c r="H156" s="53">
        <f>CZ.V!H75</f>
        <v>0.31</v>
      </c>
      <c r="I156" s="16">
        <f>CZ.V!I75</f>
        <v>55</v>
      </c>
      <c r="J156" s="16">
        <f>CZ.V!J75</f>
        <v>80</v>
      </c>
      <c r="K156" s="18">
        <f>CZ.V!K75</f>
        <v>67</v>
      </c>
      <c r="L156" s="25">
        <f>CZ.V!L75</f>
        <v>517</v>
      </c>
      <c r="M156" s="36" t="str">
        <f>CZ.V!M75</f>
        <v>.16-01</v>
      </c>
      <c r="N156" s="25">
        <f>CZ.V!N75</f>
        <v>687.66666666666663</v>
      </c>
      <c r="O156" s="73" t="str">
        <f>CZ.V!O75</f>
        <v>.16-05</v>
      </c>
      <c r="P156" s="25">
        <f>CZ.V!P75</f>
        <v>540</v>
      </c>
      <c r="Q156" s="36" t="str">
        <f>CZ.V!Q75</f>
        <v>.15-11</v>
      </c>
      <c r="R156" s="31" t="str">
        <f>CZ.V!R75</f>
        <v>keh</v>
      </c>
      <c r="S156" s="25">
        <f>CZ.V!S75</f>
        <v>620</v>
      </c>
      <c r="T156" s="36" t="str">
        <f>CZ.V!T75</f>
        <v>.15-11</v>
      </c>
      <c r="U156" s="31" t="str">
        <f>CZ.V!U75</f>
        <v>keh</v>
      </c>
    </row>
    <row r="157" spans="1:21">
      <c r="A157" s="143" t="str">
        <f>CZ.V!A91</f>
        <v>Zeiss Jena</v>
      </c>
      <c r="B157" s="11" t="str">
        <f>CZ.V!B91</f>
        <v>Pancolar MC 50/1.4</v>
      </c>
      <c r="C157" s="16">
        <f>CZ.V!C91</f>
        <v>50</v>
      </c>
      <c r="D157" s="18">
        <f>CZ.V!D91</f>
        <v>1.4</v>
      </c>
      <c r="E157" s="31">
        <f>CZ.V!E91</f>
        <v>80</v>
      </c>
      <c r="F157" s="16" t="str">
        <f>CZ.V!F91</f>
        <v>M42</v>
      </c>
      <c r="G157" s="58" t="str">
        <f>CZ.V!G91</f>
        <v xml:space="preserve"> </v>
      </c>
      <c r="H157" s="53" t="str">
        <f>CZ.V!H91</f>
        <v xml:space="preserve"> </v>
      </c>
      <c r="I157" s="16" t="str">
        <f>CZ.V!I91</f>
        <v xml:space="preserve"> </v>
      </c>
      <c r="J157" s="16" t="str">
        <f>CZ.V!J91</f>
        <v xml:space="preserve"> </v>
      </c>
      <c r="K157" s="18" t="str">
        <f>CZ.V!K91</f>
        <v xml:space="preserve"> </v>
      </c>
      <c r="L157" s="25">
        <f>CZ.V!L91</f>
        <v>0</v>
      </c>
      <c r="M157" s="36" t="str">
        <f>CZ.V!M91</f>
        <v xml:space="preserve"> </v>
      </c>
      <c r="N157" s="25">
        <f>CZ.V!N91</f>
        <v>404</v>
      </c>
      <c r="O157" s="73" t="str">
        <f>CZ.V!O91</f>
        <v>.14-03</v>
      </c>
      <c r="P157" s="25" t="str">
        <f>CZ.V!P91</f>
        <v xml:space="preserve"> </v>
      </c>
      <c r="Q157" s="36" t="str">
        <f>CZ.V!Q91</f>
        <v xml:space="preserve"> </v>
      </c>
      <c r="R157" s="31" t="str">
        <f>CZ.V!R91</f>
        <v xml:space="preserve"> </v>
      </c>
      <c r="S157" s="25" t="str">
        <f>CZ.V!S91</f>
        <v xml:space="preserve"> </v>
      </c>
      <c r="T157" s="36" t="str">
        <f>CZ.V!T91</f>
        <v xml:space="preserve"> </v>
      </c>
      <c r="U157" s="31" t="str">
        <f>CZ.V!U91</f>
        <v xml:space="preserve"> </v>
      </c>
    </row>
    <row r="158" spans="1:21">
      <c r="A158" s="143" t="str">
        <f>LNOP!A21</f>
        <v>Leica</v>
      </c>
      <c r="B158" s="11" t="str">
        <f>LNOP!B21</f>
        <v>Summilux-R 50/1.4 E55 h-bi</v>
      </c>
      <c r="C158" s="16">
        <f>LNOP!C21</f>
        <v>50</v>
      </c>
      <c r="D158" s="18">
        <f>LNOP!D21</f>
        <v>1.4</v>
      </c>
      <c r="E158" s="31">
        <f>LNOP!E21</f>
        <v>80</v>
      </c>
      <c r="F158" s="16" t="str">
        <f>LNOP!F21</f>
        <v>LR</v>
      </c>
      <c r="G158" s="58">
        <f>LNOP!G21</f>
        <v>0.5</v>
      </c>
      <c r="H158" s="53">
        <f>LNOP!H21</f>
        <v>0.49</v>
      </c>
      <c r="I158" s="16">
        <f>LNOP!I21</f>
        <v>51</v>
      </c>
      <c r="J158" s="16">
        <f>LNOP!J21</f>
        <v>70</v>
      </c>
      <c r="K158" s="18">
        <f>LNOP!K21</f>
        <v>60</v>
      </c>
      <c r="L158" s="25">
        <f>LNOP!L21</f>
        <v>905.8</v>
      </c>
      <c r="M158" s="36" t="str">
        <f>LNOP!M21</f>
        <v>.16-05</v>
      </c>
      <c r="N158" s="25">
        <f>LNOP!N21</f>
        <v>1126.7272727272727</v>
      </c>
      <c r="O158" s="73" t="str">
        <f>LNOP!O21</f>
        <v>.16-05</v>
      </c>
      <c r="P158" s="25">
        <f>LNOP!P21</f>
        <v>1060</v>
      </c>
      <c r="Q158" s="36" t="str">
        <f>LNOP!Q21</f>
        <v>.15-04</v>
      </c>
      <c r="R158" s="31" t="str">
        <f>LNOP!R21</f>
        <v>ado</v>
      </c>
      <c r="S158" s="25">
        <f>LNOP!S21</f>
        <v>1275</v>
      </c>
      <c r="T158" s="36" t="str">
        <f>LNOP!T21</f>
        <v>.16-01</v>
      </c>
      <c r="U158" s="31" t="str">
        <f>LNOP!U21</f>
        <v>igor</v>
      </c>
    </row>
    <row r="159" spans="1:21">
      <c r="A159" s="143" t="str">
        <f>LNOP!A126</f>
        <v>Pentax</v>
      </c>
      <c r="B159" s="11" t="str">
        <f>LNOP!B126</f>
        <v>SMC Pentax-A 50/1.4</v>
      </c>
      <c r="C159" s="16">
        <f>LNOP!C126</f>
        <v>50</v>
      </c>
      <c r="D159" s="18">
        <f>LNOP!D126</f>
        <v>1.4</v>
      </c>
      <c r="E159" s="31">
        <f>LNOP!E126</f>
        <v>80</v>
      </c>
      <c r="F159" s="16" t="str">
        <f>LNOP!F126</f>
        <v>KA</v>
      </c>
      <c r="G159" s="58">
        <f>LNOP!G126</f>
        <v>0.45</v>
      </c>
      <c r="H159" s="53">
        <f>LNOP!H126</f>
        <v>0.26500000000000001</v>
      </c>
      <c r="I159" s="16">
        <f>LNOP!I126</f>
        <v>37</v>
      </c>
      <c r="J159" s="16">
        <f>LNOP!J126</f>
        <v>63</v>
      </c>
      <c r="K159" s="18">
        <f>LNOP!K126</f>
        <v>49</v>
      </c>
      <c r="L159" s="25">
        <f>LNOP!L126</f>
        <v>115.1</v>
      </c>
      <c r="M159" s="36" t="str">
        <f>LNOP!M126</f>
        <v>.16-04</v>
      </c>
      <c r="N159" s="25">
        <f>LNOP!N126</f>
        <v>158</v>
      </c>
      <c r="O159" s="73" t="str">
        <f>LNOP!O126</f>
        <v>.16-04</v>
      </c>
      <c r="P159" s="25">
        <f>LNOP!P126</f>
        <v>160</v>
      </c>
      <c r="Q159" s="36" t="str">
        <f>LNOP!Q126</f>
        <v>.14-03</v>
      </c>
      <c r="R159" s="31" t="str">
        <f>LNOP!R126</f>
        <v>keh</v>
      </c>
      <c r="S159" s="25">
        <f>LNOP!S126</f>
        <v>100</v>
      </c>
      <c r="T159" s="36" t="str">
        <f>LNOP!T126</f>
        <v>.16-05</v>
      </c>
      <c r="U159" s="31" t="str">
        <f>LNOP!U126</f>
        <v>igor</v>
      </c>
    </row>
    <row r="160" spans="1:21">
      <c r="A160" s="143" t="str">
        <f>LNOP!A165</f>
        <v>Fuji Photo</v>
      </c>
      <c r="B160" s="11" t="str">
        <f>LNOP!B165</f>
        <v>EBC Fujinon 50/1.4</v>
      </c>
      <c r="C160" s="16">
        <f>LNOP!C165</f>
        <v>50</v>
      </c>
      <c r="D160" s="18">
        <f>LNOP!D165</f>
        <v>1.4</v>
      </c>
      <c r="E160" s="31">
        <f>LNOP!E165</f>
        <v>80</v>
      </c>
      <c r="F160" s="16" t="str">
        <f>LNOP!F165</f>
        <v>M42</v>
      </c>
      <c r="G160" s="58">
        <f>LNOP!G165</f>
        <v>0.45</v>
      </c>
      <c r="H160" s="53">
        <f>LNOP!H165</f>
        <v>0.27</v>
      </c>
      <c r="I160" s="16">
        <f>LNOP!I165</f>
        <v>43</v>
      </c>
      <c r="J160" s="16">
        <f>LNOP!J165</f>
        <v>63</v>
      </c>
      <c r="K160" s="18">
        <f>LNOP!K165</f>
        <v>49</v>
      </c>
      <c r="L160" s="25">
        <f>LNOP!L165</f>
        <v>125.9</v>
      </c>
      <c r="M160" s="36" t="str">
        <f>LNOP!M165</f>
        <v>.16-04</v>
      </c>
      <c r="N160" s="25">
        <f>LNOP!N165</f>
        <v>203.75</v>
      </c>
      <c r="O160" s="73" t="str">
        <f>LNOP!O165</f>
        <v>.15-11</v>
      </c>
      <c r="P160" s="25" t="str">
        <f>LNOP!P165</f>
        <v xml:space="preserve"> </v>
      </c>
      <c r="Q160" s="36" t="str">
        <f>LNOP!Q165</f>
        <v xml:space="preserve"> </v>
      </c>
      <c r="R160" s="31" t="str">
        <f>LNOP!R165</f>
        <v xml:space="preserve"> </v>
      </c>
      <c r="S160" s="25" t="str">
        <f>LNOP!S165</f>
        <v xml:space="preserve"> </v>
      </c>
      <c r="T160" s="36" t="str">
        <f>LNOP!T165</f>
        <v xml:space="preserve"> </v>
      </c>
      <c r="U160" s="31" t="str">
        <f>LNOP!U165</f>
        <v xml:space="preserve"> </v>
      </c>
    </row>
    <row r="161" spans="1:21">
      <c r="A161" s="143" t="str">
        <f>LNOP!A183</f>
        <v>Mamiya</v>
      </c>
      <c r="B161" s="11" t="str">
        <f>LNOP!B183</f>
        <v>mamyia/sekor AUTO 50/1.4 SX</v>
      </c>
      <c r="C161" s="16">
        <f>LNOP!C183</f>
        <v>50</v>
      </c>
      <c r="D161" s="18">
        <f>LNOP!D183</f>
        <v>1.4</v>
      </c>
      <c r="E161" s="31">
        <f>LNOP!E183</f>
        <v>80</v>
      </c>
      <c r="F161" s="16" t="str">
        <f>LNOP!F183</f>
        <v>M42</v>
      </c>
      <c r="G161" s="58">
        <f>LNOP!G183</f>
        <v>0.45</v>
      </c>
      <c r="H161" s="53">
        <f>LNOP!H183</f>
        <v>0.20499999999999999</v>
      </c>
      <c r="I161" s="16" t="str">
        <f>LNOP!I183</f>
        <v xml:space="preserve"> </v>
      </c>
      <c r="J161" s="16" t="str">
        <f>LNOP!J183</f>
        <v xml:space="preserve"> </v>
      </c>
      <c r="K161" s="18">
        <f>LNOP!K183</f>
        <v>49</v>
      </c>
      <c r="L161" s="25">
        <f>LNOP!L183</f>
        <v>107</v>
      </c>
      <c r="M161" s="36" t="str">
        <f>LNOP!M183</f>
        <v>.16-01</v>
      </c>
      <c r="N161" s="25">
        <f>LNOP!N183</f>
        <v>0</v>
      </c>
      <c r="O161" s="73" t="str">
        <f>LNOP!O183</f>
        <v xml:space="preserve"> </v>
      </c>
      <c r="P161" s="25" t="str">
        <f>LNOP!P183</f>
        <v xml:space="preserve"> </v>
      </c>
      <c r="Q161" s="36" t="str">
        <f>LNOP!Q183</f>
        <v xml:space="preserve"> </v>
      </c>
      <c r="R161" s="31" t="str">
        <f>LNOP!R183</f>
        <v xml:space="preserve"> </v>
      </c>
      <c r="S161" s="25" t="str">
        <f>LNOP!S183</f>
        <v xml:space="preserve"> </v>
      </c>
      <c r="T161" s="36" t="str">
        <f>LNOP!T183</f>
        <v xml:space="preserve"> </v>
      </c>
      <c r="U161" s="31" t="str">
        <f>LNOP!U183</f>
        <v xml:space="preserve"> </v>
      </c>
    </row>
    <row r="162" spans="1:21">
      <c r="A162" s="143" t="str">
        <f>LNOP!A155</f>
        <v>Rokinon</v>
      </c>
      <c r="B162" s="11" t="str">
        <f>LNOP!B155</f>
        <v>50/1.4 AS UMC</v>
      </c>
      <c r="C162" s="16">
        <f>LNOP!C155</f>
        <v>50</v>
      </c>
      <c r="D162" s="18">
        <f>LNOP!D155</f>
        <v>1.4</v>
      </c>
      <c r="E162" s="31">
        <f>LNOP!E155</f>
        <v>80</v>
      </c>
      <c r="F162" s="16" t="str">
        <f>LNOP!F155</f>
        <v>EFx</v>
      </c>
      <c r="G162" s="58">
        <f>LNOP!G155</f>
        <v>0.45</v>
      </c>
      <c r="H162" s="53">
        <f>LNOP!H155</f>
        <v>0.54</v>
      </c>
      <c r="I162" s="16">
        <f>LNOP!I155</f>
        <v>73.7</v>
      </c>
      <c r="J162" s="16">
        <f>LNOP!J155</f>
        <v>81.3</v>
      </c>
      <c r="K162" s="18">
        <f>LNOP!K155</f>
        <v>77</v>
      </c>
      <c r="L162" s="25">
        <f>LNOP!L155</f>
        <v>197.66666666666666</v>
      </c>
      <c r="M162" s="36" t="str">
        <f>LNOP!M155</f>
        <v>.16-01</v>
      </c>
      <c r="N162" s="25">
        <f>LNOP!N155</f>
        <v>233</v>
      </c>
      <c r="O162" s="73" t="str">
        <f>LNOP!O155</f>
        <v>.16-01</v>
      </c>
      <c r="P162" s="25">
        <f>LNOP!P155</f>
        <v>280</v>
      </c>
      <c r="Q162" s="36" t="str">
        <f>LNOP!Q155</f>
        <v>.15-11</v>
      </c>
      <c r="R162" s="31" t="str">
        <f>LNOP!R155</f>
        <v>ado</v>
      </c>
      <c r="S162" s="25">
        <f>LNOP!S155</f>
        <v>400</v>
      </c>
      <c r="T162" s="36" t="str">
        <f>LNOP!T155</f>
        <v>.15-03</v>
      </c>
      <c r="U162" s="31" t="str">
        <f>LNOP!U155</f>
        <v>b&amp;h</v>
      </c>
    </row>
    <row r="163" spans="1:21">
      <c r="A163" s="143" t="str">
        <f>CZ.V!A43</f>
        <v>Carl Zeiss</v>
      </c>
      <c r="B163" s="11" t="str">
        <f>CZ.V!B43</f>
        <v>Planar T* 50/1.7 CY</v>
      </c>
      <c r="C163" s="16">
        <f>CZ.V!C43</f>
        <v>50</v>
      </c>
      <c r="D163" s="18">
        <f>CZ.V!D43</f>
        <v>1.7</v>
      </c>
      <c r="E163" s="31">
        <f>CZ.V!E43</f>
        <v>80</v>
      </c>
      <c r="F163" s="16" t="str">
        <f>CZ.V!F43</f>
        <v>CY</v>
      </c>
      <c r="G163" s="58">
        <f>CZ.V!G43</f>
        <v>0.6</v>
      </c>
      <c r="H163" s="53">
        <f>CZ.V!H43</f>
        <v>0.19</v>
      </c>
      <c r="I163" s="16">
        <f>CZ.V!I43</f>
        <v>36</v>
      </c>
      <c r="J163" s="16">
        <f>CZ.V!J43</f>
        <v>59</v>
      </c>
      <c r="K163" s="18">
        <f>CZ.V!K43</f>
        <v>55</v>
      </c>
      <c r="L163" s="25">
        <f>CZ.V!L43</f>
        <v>136.66666666666666</v>
      </c>
      <c r="M163" s="36" t="str">
        <f>CZ.V!M43</f>
        <v>.16-05</v>
      </c>
      <c r="N163" s="25">
        <f>CZ.V!N43</f>
        <v>198.16666666666666</v>
      </c>
      <c r="O163" s="73" t="str">
        <f>CZ.V!O43</f>
        <v>.16-05</v>
      </c>
      <c r="P163" s="25">
        <f>CZ.V!P43</f>
        <v>151.24</v>
      </c>
      <c r="Q163" s="36" t="str">
        <f>CZ.V!Q43</f>
        <v>.16-03</v>
      </c>
      <c r="R163" s="31" t="str">
        <f>CZ.V!R43</f>
        <v>ctc</v>
      </c>
      <c r="S163" s="25">
        <f>CZ.V!S43</f>
        <v>250</v>
      </c>
      <c r="T163" s="36" t="str">
        <f>CZ.V!T43</f>
        <v>.12-02</v>
      </c>
      <c r="U163" s="31" t="str">
        <f>CZ.V!U43</f>
        <v>b&amp;h</v>
      </c>
    </row>
    <row r="164" spans="1:21">
      <c r="A164" s="143" t="str">
        <f>EFp!A29</f>
        <v>Canon</v>
      </c>
      <c r="B164" s="11" t="str">
        <f>EFp!B29</f>
        <v xml:space="preserve">EF 50/1.8 </v>
      </c>
      <c r="C164" s="16">
        <f>EFp!C29</f>
        <v>50</v>
      </c>
      <c r="D164" s="18">
        <f>EFp!D29</f>
        <v>1.8</v>
      </c>
      <c r="E164" s="31">
        <f>EFp!E29</f>
        <v>80</v>
      </c>
      <c r="F164" s="16" t="str">
        <f>EFp!F29</f>
        <v>EF</v>
      </c>
      <c r="G164" s="58">
        <f>EFp!G29</f>
        <v>0.45</v>
      </c>
      <c r="H164" s="53">
        <f>EFp!H29</f>
        <v>0.19</v>
      </c>
      <c r="I164" s="16">
        <f>EFp!I29</f>
        <v>42.5</v>
      </c>
      <c r="J164" s="16">
        <f>EFp!J29</f>
        <v>67.400000000000006</v>
      </c>
      <c r="K164" s="18">
        <f>EFp!K29</f>
        <v>52</v>
      </c>
      <c r="L164" s="25">
        <f>EFp!L29</f>
        <v>107.27272727272727</v>
      </c>
      <c r="M164" s="36" t="str">
        <f>EFp!M29</f>
        <v>.16-04</v>
      </c>
      <c r="N164" s="25">
        <f>EFp!N29</f>
        <v>145.19999999999999</v>
      </c>
      <c r="O164" s="73" t="str">
        <f>EFp!O29</f>
        <v>.16-03</v>
      </c>
      <c r="P164" s="25">
        <f>EFp!P29</f>
        <v>110.2</v>
      </c>
      <c r="Q164" s="36" t="str">
        <f>EFp!Q29</f>
        <v>.15-11</v>
      </c>
      <c r="R164" s="31" t="str">
        <f>EFp!R29</f>
        <v>v.v</v>
      </c>
      <c r="S164" s="25">
        <f>EFp!S29</f>
        <v>185</v>
      </c>
      <c r="T164" s="36" t="str">
        <f>EFp!T29</f>
        <v>.14-08</v>
      </c>
      <c r="U164" s="31" t="str">
        <f>EFp!U29</f>
        <v>ado</v>
      </c>
    </row>
    <row r="165" spans="1:21">
      <c r="A165" s="143" t="str">
        <f>EFp!A30</f>
        <v>Canon</v>
      </c>
      <c r="B165" s="11" t="str">
        <f>EFp!B30</f>
        <v xml:space="preserve">EF 50/1.8 II </v>
      </c>
      <c r="C165" s="16">
        <f>EFp!C30</f>
        <v>50</v>
      </c>
      <c r="D165" s="18">
        <f>EFp!D30</f>
        <v>1.8</v>
      </c>
      <c r="E165" s="31">
        <f>EFp!E30</f>
        <v>80</v>
      </c>
      <c r="F165" s="16" t="str">
        <f>EFp!F30</f>
        <v>EF</v>
      </c>
      <c r="G165" s="58">
        <f>EFp!G30</f>
        <v>0.45</v>
      </c>
      <c r="H165" s="53">
        <f>EFp!H30</f>
        <v>0.15</v>
      </c>
      <c r="I165" s="16">
        <f>EFp!I30</f>
        <v>41</v>
      </c>
      <c r="J165" s="16">
        <f>EFp!J30</f>
        <v>68.2</v>
      </c>
      <c r="K165" s="18">
        <f>EFp!K30</f>
        <v>52</v>
      </c>
      <c r="L165" s="25">
        <f>EFp!L30</f>
        <v>71</v>
      </c>
      <c r="M165" s="36" t="str">
        <f>EFp!M30</f>
        <v>.16-01</v>
      </c>
      <c r="N165" s="25">
        <f>EFp!N30</f>
        <v>100.1</v>
      </c>
      <c r="O165" s="73" t="str">
        <f>EFp!O30</f>
        <v>.16-04</v>
      </c>
      <c r="P165" s="25">
        <f>EFp!P30</f>
        <v>80</v>
      </c>
      <c r="Q165" s="36" t="str">
        <f>EFp!Q30</f>
        <v>.16-01</v>
      </c>
      <c r="R165" s="31" t="str">
        <f>EFp!R30</f>
        <v>keh</v>
      </c>
      <c r="S165" s="25">
        <f>EFp!S30</f>
        <v>90</v>
      </c>
      <c r="T165" s="36" t="str">
        <f>EFp!T30</f>
        <v>.16-01</v>
      </c>
      <c r="U165" s="31" t="str">
        <f>EFp!U30</f>
        <v>jack's</v>
      </c>
    </row>
    <row r="166" spans="1:21">
      <c r="A166" s="143" t="str">
        <f>EFp!A31</f>
        <v>Canon</v>
      </c>
      <c r="B166" s="11" t="str">
        <f>EFp!B31</f>
        <v xml:space="preserve">EF 50/1.8 STM </v>
      </c>
      <c r="C166" s="16">
        <f>EFp!C31</f>
        <v>50</v>
      </c>
      <c r="D166" s="18">
        <f>EFp!D31</f>
        <v>1.8</v>
      </c>
      <c r="E166" s="31">
        <f>EFp!E31</f>
        <v>80</v>
      </c>
      <c r="F166" s="16" t="str">
        <f>EFp!F31</f>
        <v>EF</v>
      </c>
      <c r="G166" s="58">
        <f>EFp!G31</f>
        <v>0.36</v>
      </c>
      <c r="H166" s="53">
        <f>EFp!H31</f>
        <v>0.16200000000000001</v>
      </c>
      <c r="I166" s="16">
        <f>EFp!I31</f>
        <v>40.6</v>
      </c>
      <c r="J166" s="16">
        <f>EFp!J31</f>
        <v>68.599999999999994</v>
      </c>
      <c r="K166" s="18">
        <f>EFp!K31</f>
        <v>49</v>
      </c>
      <c r="L166" s="25">
        <f>EFp!L31</f>
        <v>97.857142857142861</v>
      </c>
      <c r="M166" s="36" t="str">
        <f>EFp!M31</f>
        <v>.16-01</v>
      </c>
      <c r="N166" s="25">
        <f>EFp!N31</f>
        <v>103.28571428571429</v>
      </c>
      <c r="O166" s="73" t="str">
        <f>EFp!O31</f>
        <v>.16-04</v>
      </c>
      <c r="P166" s="25">
        <f>EFp!P31</f>
        <v>0</v>
      </c>
      <c r="Q166" s="36" t="str">
        <f>EFp!Q31</f>
        <v xml:space="preserve"> </v>
      </c>
      <c r="R166" s="31" t="str">
        <f>EFp!R31</f>
        <v xml:space="preserve"> </v>
      </c>
      <c r="S166" s="25">
        <f>EFp!S31</f>
        <v>118</v>
      </c>
      <c r="T166" s="36" t="str">
        <f>EFp!T31</f>
        <v>.15-11</v>
      </c>
      <c r="U166" s="31" t="str">
        <f>EFp!U31</f>
        <v>keh</v>
      </c>
    </row>
    <row r="167" spans="1:21">
      <c r="A167" s="143" t="str">
        <f>CZ.V!A83</f>
        <v>Carl Zeiss</v>
      </c>
      <c r="B167" s="11" t="str">
        <f>CZ.V!B83</f>
        <v>Ultron 50/1.8 M42</v>
      </c>
      <c r="C167" s="16">
        <f>CZ.V!C83</f>
        <v>50</v>
      </c>
      <c r="D167" s="18">
        <f>CZ.V!D83</f>
        <v>1.8</v>
      </c>
      <c r="E167" s="31">
        <f>CZ.V!E83</f>
        <v>80</v>
      </c>
      <c r="F167" s="16" t="str">
        <f>CZ.V!F83</f>
        <v>M42</v>
      </c>
      <c r="G167" s="58">
        <f>CZ.V!G83</f>
        <v>0</v>
      </c>
      <c r="H167" s="53">
        <f>CZ.V!H83</f>
        <v>0</v>
      </c>
      <c r="I167" s="16">
        <f>CZ.V!I83</f>
        <v>0</v>
      </c>
      <c r="J167" s="16">
        <f>CZ.V!J83</f>
        <v>0</v>
      </c>
      <c r="K167" s="18">
        <f>CZ.V!K83</f>
        <v>0</v>
      </c>
      <c r="L167" s="25">
        <f>CZ.V!L83</f>
        <v>434</v>
      </c>
      <c r="M167" s="36" t="str">
        <f>CZ.V!M83</f>
        <v>.16-04</v>
      </c>
      <c r="N167" s="25">
        <f>CZ.V!N83</f>
        <v>504</v>
      </c>
      <c r="O167" s="73" t="str">
        <f>CZ.V!O83</f>
        <v>.16-04</v>
      </c>
      <c r="P167" s="25">
        <f>CZ.V!P83</f>
        <v>0</v>
      </c>
      <c r="Q167" s="36">
        <f>CZ.V!Q83</f>
        <v>0</v>
      </c>
      <c r="R167" s="31">
        <f>CZ.V!R83</f>
        <v>0</v>
      </c>
      <c r="S167" s="25">
        <f>CZ.V!S83</f>
        <v>0</v>
      </c>
      <c r="T167" s="36">
        <f>CZ.V!T83</f>
        <v>0</v>
      </c>
      <c r="U167" s="31">
        <f>CZ.V!U83</f>
        <v>0</v>
      </c>
    </row>
    <row r="168" spans="1:21">
      <c r="A168" s="143" t="str">
        <f>CZ.V!A92</f>
        <v>Zeiss Jena</v>
      </c>
      <c r="B168" s="11" t="str">
        <f>CZ.V!B92</f>
        <v>Pancolar MC 50/1.8</v>
      </c>
      <c r="C168" s="16">
        <f>CZ.V!C92</f>
        <v>50</v>
      </c>
      <c r="D168" s="18">
        <f>CZ.V!D92</f>
        <v>1.8</v>
      </c>
      <c r="E168" s="31">
        <f>CZ.V!E92</f>
        <v>80</v>
      </c>
      <c r="F168" s="16" t="str">
        <f>CZ.V!F92</f>
        <v>M42</v>
      </c>
      <c r="G168" s="58">
        <f>CZ.V!G92</f>
        <v>0.33</v>
      </c>
      <c r="H168" s="53">
        <f>CZ.V!H92</f>
        <v>0.19500000000000001</v>
      </c>
      <c r="I168" s="16">
        <f>CZ.V!I92</f>
        <v>39</v>
      </c>
      <c r="J168" s="16">
        <f>CZ.V!J92</f>
        <v>84</v>
      </c>
      <c r="K168" s="18">
        <f>CZ.V!K92</f>
        <v>49</v>
      </c>
      <c r="L168" s="25">
        <f>CZ.V!L92</f>
        <v>119.53846153846153</v>
      </c>
      <c r="M168" s="36" t="str">
        <f>CZ.V!M92</f>
        <v>.16-05</v>
      </c>
      <c r="N168" s="25">
        <f>CZ.V!N92</f>
        <v>168</v>
      </c>
      <c r="O168" s="73" t="str">
        <f>CZ.V!O92</f>
        <v>.16-05</v>
      </c>
      <c r="P168" s="25" t="str">
        <f>CZ.V!P92</f>
        <v xml:space="preserve"> </v>
      </c>
      <c r="Q168" s="36" t="str">
        <f>CZ.V!Q92</f>
        <v xml:space="preserve"> </v>
      </c>
      <c r="R168" s="31" t="str">
        <f>CZ.V!R92</f>
        <v xml:space="preserve"> </v>
      </c>
      <c r="S168" s="25" t="str">
        <f>CZ.V!S92</f>
        <v xml:space="preserve"> </v>
      </c>
      <c r="T168" s="36" t="str">
        <f>CZ.V!T92</f>
        <v xml:space="preserve"> </v>
      </c>
      <c r="U168" s="31" t="str">
        <f>CZ.V!U92</f>
        <v xml:space="preserve"> </v>
      </c>
    </row>
    <row r="169" spans="1:21">
      <c r="A169" s="143" t="str">
        <f>CZ.V!A104</f>
        <v>Voigtlander</v>
      </c>
      <c r="B169" s="11" t="str">
        <f>CZ.V!B104</f>
        <v xml:space="preserve">50/1.8 Color Ultron SL </v>
      </c>
      <c r="C169" s="16">
        <f>CZ.V!C104</f>
        <v>50</v>
      </c>
      <c r="D169" s="18">
        <f>CZ.V!D104</f>
        <v>1.8</v>
      </c>
      <c r="E169" s="31">
        <f>CZ.V!E104</f>
        <v>80</v>
      </c>
      <c r="F169" s="16" t="str">
        <f>CZ.V!F104</f>
        <v>x</v>
      </c>
      <c r="G169" s="58">
        <f>CZ.V!G104</f>
        <v>0.45</v>
      </c>
      <c r="H169" s="53">
        <f>CZ.V!H104</f>
        <v>0.188</v>
      </c>
      <c r="I169" s="16">
        <f>CZ.V!I104</f>
        <v>38</v>
      </c>
      <c r="J169" s="16" t="str">
        <f>CZ.V!J104</f>
        <v xml:space="preserve"> </v>
      </c>
      <c r="K169" s="18">
        <f>CZ.V!K104</f>
        <v>49</v>
      </c>
      <c r="L169" s="25">
        <f>CZ.V!L104</f>
        <v>142.18181818181819</v>
      </c>
      <c r="M169" s="36" t="str">
        <f>CZ.V!M104</f>
        <v>.16-03</v>
      </c>
      <c r="N169" s="25">
        <f>CZ.V!N104</f>
        <v>253.9</v>
      </c>
      <c r="O169" s="73" t="str">
        <f>CZ.V!O104</f>
        <v>.16-05</v>
      </c>
      <c r="P169" s="25" t="str">
        <f>CZ.V!P104</f>
        <v xml:space="preserve"> </v>
      </c>
      <c r="Q169" s="36" t="str">
        <f>CZ.V!Q104</f>
        <v xml:space="preserve"> </v>
      </c>
      <c r="R169" s="31" t="str">
        <f>CZ.V!R104</f>
        <v xml:space="preserve"> </v>
      </c>
      <c r="S169" s="25" t="str">
        <f>CZ.V!S104</f>
        <v xml:space="preserve"> </v>
      </c>
      <c r="T169" s="36" t="str">
        <f>CZ.V!T104</f>
        <v xml:space="preserve"> </v>
      </c>
      <c r="U169" s="31" t="str">
        <f>CZ.V!U104</f>
        <v xml:space="preserve"> </v>
      </c>
    </row>
    <row r="170" spans="1:21">
      <c r="A170" s="143" t="str">
        <f>LNOP!A82</f>
        <v>Olympus</v>
      </c>
      <c r="B170" s="11" t="str">
        <f>LNOP!B82</f>
        <v>Zuiko 50/1.8 Auto-S</v>
      </c>
      <c r="C170" s="16">
        <f>LNOP!C82</f>
        <v>50</v>
      </c>
      <c r="D170" s="18">
        <f>LNOP!D82</f>
        <v>1.8</v>
      </c>
      <c r="E170" s="31">
        <f>LNOP!E82</f>
        <v>80</v>
      </c>
      <c r="F170" s="16" t="str">
        <f>LNOP!F82</f>
        <v>OM</v>
      </c>
      <c r="G170" s="58">
        <f>LNOP!G82</f>
        <v>0.45</v>
      </c>
      <c r="H170" s="53">
        <f>LNOP!H82</f>
        <v>0.17</v>
      </c>
      <c r="I170" s="16">
        <f>LNOP!I82</f>
        <v>31</v>
      </c>
      <c r="J170" s="16">
        <f>LNOP!J82</f>
        <v>61</v>
      </c>
      <c r="K170" s="18">
        <f>LNOP!K82</f>
        <v>49</v>
      </c>
      <c r="L170" s="25">
        <f>LNOP!L82</f>
        <v>0</v>
      </c>
      <c r="M170" s="36" t="str">
        <f>LNOP!M82</f>
        <v xml:space="preserve"> </v>
      </c>
      <c r="N170" s="25">
        <f>LNOP!N82</f>
        <v>149</v>
      </c>
      <c r="O170" s="73" t="str">
        <f>LNOP!O82</f>
        <v>.16-01</v>
      </c>
      <c r="P170" s="25">
        <f>LNOP!P82</f>
        <v>60</v>
      </c>
      <c r="Q170" s="36" t="str">
        <f>LNOP!Q82</f>
        <v>.16-01</v>
      </c>
      <c r="R170" s="31" t="str">
        <f>LNOP!R82</f>
        <v>b&amp;h</v>
      </c>
      <c r="S170" s="25">
        <f>LNOP!S82</f>
        <v>85</v>
      </c>
      <c r="T170" s="36" t="str">
        <f>LNOP!T82</f>
        <v>.14-08</v>
      </c>
      <c r="U170" s="31" t="str">
        <f>LNOP!U82</f>
        <v>b&amp;h</v>
      </c>
    </row>
    <row r="171" spans="1:21">
      <c r="A171" s="143" t="str">
        <f>CZ.V!A116</f>
        <v>Pentacon</v>
      </c>
      <c r="B171" s="11" t="str">
        <f>CZ.V!B116</f>
        <v>Multi Coating 50/1.8 electric</v>
      </c>
      <c r="C171" s="16">
        <f>CZ.V!C116</f>
        <v>50</v>
      </c>
      <c r="D171" s="18">
        <f>CZ.V!D116</f>
        <v>1.8</v>
      </c>
      <c r="E171" s="31">
        <f>CZ.V!E116</f>
        <v>65</v>
      </c>
      <c r="F171" s="16" t="str">
        <f>CZ.V!F116</f>
        <v>M42</v>
      </c>
      <c r="G171" s="58">
        <f>CZ.V!G116</f>
        <v>0.19500000000000001</v>
      </c>
      <c r="H171" s="53">
        <f>CZ.V!H116</f>
        <v>0.33</v>
      </c>
      <c r="I171" s="16">
        <f>CZ.V!I116</f>
        <v>39</v>
      </c>
      <c r="J171" s="16">
        <f>CZ.V!J116</f>
        <v>64</v>
      </c>
      <c r="K171" s="18">
        <f>CZ.V!K116</f>
        <v>49</v>
      </c>
      <c r="L171" s="25">
        <f>CZ.V!L116</f>
        <v>25.666666666666668</v>
      </c>
      <c r="M171" s="36" t="str">
        <f>CZ.V!M116</f>
        <v>.15-06</v>
      </c>
      <c r="N171" s="25">
        <f>CZ.V!N116</f>
        <v>47.5</v>
      </c>
      <c r="O171" s="73" t="str">
        <f>CZ.V!O116</f>
        <v>.15-06</v>
      </c>
      <c r="P171" s="25" t="str">
        <f>CZ.V!P116</f>
        <v xml:space="preserve"> </v>
      </c>
      <c r="Q171" s="36" t="str">
        <f>CZ.V!Q116</f>
        <v xml:space="preserve"> </v>
      </c>
      <c r="R171" s="31" t="str">
        <f>CZ.V!R116</f>
        <v xml:space="preserve"> </v>
      </c>
      <c r="S171" s="25" t="str">
        <f>CZ.V!S116</f>
        <v xml:space="preserve"> </v>
      </c>
      <c r="T171" s="36" t="str">
        <f>CZ.V!T116</f>
        <v xml:space="preserve"> </v>
      </c>
      <c r="U171" s="31" t="str">
        <f>CZ.V!U116</f>
        <v xml:space="preserve"> </v>
      </c>
    </row>
    <row r="172" spans="1:21">
      <c r="A172" s="143" t="str">
        <f>CZ.V!A10</f>
        <v>Carl Zeiss</v>
      </c>
      <c r="B172" s="11" t="str">
        <f>CZ.V!B10</f>
        <v>Milvus 50/2 M ZE [1:2]</v>
      </c>
      <c r="C172" s="16">
        <f>CZ.V!C10</f>
        <v>50</v>
      </c>
      <c r="D172" s="18">
        <f>CZ.V!D10</f>
        <v>2</v>
      </c>
      <c r="E172" s="31">
        <f>CZ.V!E10</f>
        <v>80</v>
      </c>
      <c r="F172" s="16" t="str">
        <f>CZ.V!F10</f>
        <v>ZE</v>
      </c>
      <c r="G172" s="58">
        <f>CZ.V!G10</f>
        <v>0.24</v>
      </c>
      <c r="H172" s="53">
        <f>CZ.V!H10</f>
        <v>0.73</v>
      </c>
      <c r="I172" s="16">
        <f>CZ.V!I10</f>
        <v>75</v>
      </c>
      <c r="J172" s="16">
        <f>CZ.V!J10</f>
        <v>81</v>
      </c>
      <c r="K172" s="18">
        <f>CZ.V!K10</f>
        <v>67</v>
      </c>
      <c r="L172" s="25">
        <f>CZ.V!L10</f>
        <v>0</v>
      </c>
      <c r="M172" s="36" t="str">
        <f>CZ.V!M10</f>
        <v xml:space="preserve"> </v>
      </c>
      <c r="N172" s="25">
        <f>CZ.V!N10</f>
        <v>1287.6666666666667</v>
      </c>
      <c r="O172" s="73" t="str">
        <f>CZ.V!O10</f>
        <v>.16-04</v>
      </c>
      <c r="P172" s="25" t="str">
        <f>CZ.V!P10</f>
        <v xml:space="preserve"> </v>
      </c>
      <c r="Q172" s="36" t="str">
        <f>CZ.V!Q10</f>
        <v xml:space="preserve"> </v>
      </c>
      <c r="R172" s="31" t="str">
        <f>CZ.V!R10</f>
        <v xml:space="preserve"> </v>
      </c>
      <c r="S172" s="25">
        <f>CZ.V!S10</f>
        <v>1283</v>
      </c>
      <c r="T172" s="36" t="str">
        <f>CZ.V!T10</f>
        <v>.15-09</v>
      </c>
      <c r="U172" s="31" t="str">
        <f>CZ.V!U10</f>
        <v>b&amp;h</v>
      </c>
    </row>
    <row r="173" spans="1:21">
      <c r="A173" s="143" t="str">
        <f>CZ.V!A26</f>
        <v>Carl Zeiss</v>
      </c>
      <c r="B173" s="11" t="str">
        <f>CZ.V!B26</f>
        <v>Makro-Planar T* 50/2 ZE [1:2]</v>
      </c>
      <c r="C173" s="16">
        <f>CZ.V!C26</f>
        <v>50</v>
      </c>
      <c r="D173" s="18">
        <f>CZ.V!D26</f>
        <v>2</v>
      </c>
      <c r="E173" s="31">
        <f>CZ.V!E26</f>
        <v>80</v>
      </c>
      <c r="F173" s="16" t="str">
        <f>CZ.V!F26</f>
        <v>ZE</v>
      </c>
      <c r="G173" s="58">
        <f>CZ.V!G26</f>
        <v>0.24</v>
      </c>
      <c r="H173" s="53">
        <f>CZ.V!H26</f>
        <v>0.56999999999999995</v>
      </c>
      <c r="I173" s="16">
        <f>CZ.V!I26</f>
        <v>67</v>
      </c>
      <c r="J173" s="16">
        <f>CZ.V!J26</f>
        <v>75.400000000000006</v>
      </c>
      <c r="K173" s="18">
        <f>CZ.V!K26</f>
        <v>67</v>
      </c>
      <c r="L173" s="25">
        <f>CZ.V!L26</f>
        <v>679.77777777777783</v>
      </c>
      <c r="M173" s="36" t="str">
        <f>CZ.V!M26</f>
        <v>.16-05</v>
      </c>
      <c r="N173" s="25">
        <f>CZ.V!N26</f>
        <v>886.125</v>
      </c>
      <c r="O173" s="73" t="str">
        <f>CZ.V!O26</f>
        <v>.16-03</v>
      </c>
      <c r="P173" s="25">
        <f>CZ.V!P26</f>
        <v>600</v>
      </c>
      <c r="Q173" s="36" t="str">
        <f>CZ.V!Q26</f>
        <v>.16-05</v>
      </c>
      <c r="R173" s="31" t="str">
        <f>CZ.V!R26</f>
        <v>keh</v>
      </c>
      <c r="S173" s="25">
        <f>CZ.V!S26</f>
        <v>792</v>
      </c>
      <c r="T173" s="36" t="str">
        <f>CZ.V!T26</f>
        <v>.16-05</v>
      </c>
      <c r="U173" s="31" t="str">
        <f>CZ.V!U26</f>
        <v>keh</v>
      </c>
    </row>
    <row r="174" spans="1:21">
      <c r="A174" s="143" t="str">
        <f>LNOP!A22</f>
        <v>Leica</v>
      </c>
      <c r="B174" s="11" t="str">
        <f>LNOP!B22</f>
        <v>Summicron-R 50/2 E55</v>
      </c>
      <c r="C174" s="16">
        <f>LNOP!C22</f>
        <v>50</v>
      </c>
      <c r="D174" s="18">
        <f>LNOP!D22</f>
        <v>2</v>
      </c>
      <c r="E174" s="31">
        <f>LNOP!E22</f>
        <v>80</v>
      </c>
      <c r="F174" s="16" t="str">
        <f>LNOP!F22</f>
        <v>LR</v>
      </c>
      <c r="G174" s="58">
        <f>LNOP!G22</f>
        <v>0.5</v>
      </c>
      <c r="H174" s="53">
        <f>LNOP!H22</f>
        <v>0.28999999999999998</v>
      </c>
      <c r="I174" s="16">
        <f>LNOP!I22</f>
        <v>41</v>
      </c>
      <c r="J174" s="16">
        <f>LNOP!J22</f>
        <v>66</v>
      </c>
      <c r="K174" s="18">
        <f>LNOP!K22</f>
        <v>55</v>
      </c>
      <c r="L174" s="25">
        <f>LNOP!L22</f>
        <v>394.41666666666669</v>
      </c>
      <c r="M174" s="36" t="str">
        <f>LNOP!M22</f>
        <v>.16-05</v>
      </c>
      <c r="N174" s="25">
        <f>LNOP!N22</f>
        <v>547.09090909090912</v>
      </c>
      <c r="O174" s="73" t="str">
        <f>LNOP!O22</f>
        <v>.16-05</v>
      </c>
      <c r="P174" s="25">
        <f>LNOP!P22</f>
        <v>350</v>
      </c>
      <c r="Q174" s="36" t="str">
        <f>LNOP!Q22</f>
        <v>.16-01</v>
      </c>
      <c r="R174" s="31" t="str">
        <f>LNOP!R22</f>
        <v>b&amp;h</v>
      </c>
      <c r="S174" s="25">
        <f>LNOP!S22</f>
        <v>425</v>
      </c>
      <c r="T174" s="36" t="str">
        <f>LNOP!T22</f>
        <v>.16-01</v>
      </c>
      <c r="U174" s="31" t="str">
        <f>LNOP!U22</f>
        <v>igor</v>
      </c>
    </row>
    <row r="175" spans="1:21">
      <c r="A175" s="143" t="str">
        <f>EFp!A32</f>
        <v>Canon</v>
      </c>
      <c r="B175" s="11" t="str">
        <f>EFp!B32</f>
        <v xml:space="preserve">EF 50/2.5 Compact-Macro </v>
      </c>
      <c r="C175" s="16">
        <f>EFp!C32</f>
        <v>50</v>
      </c>
      <c r="D175" s="18">
        <f>EFp!D32</f>
        <v>2.5</v>
      </c>
      <c r="E175" s="31">
        <f>EFp!E32</f>
        <v>80</v>
      </c>
      <c r="F175" s="16" t="str">
        <f>EFp!F32</f>
        <v>EF</v>
      </c>
      <c r="G175" s="58">
        <f>EFp!G32</f>
        <v>0.23</v>
      </c>
      <c r="H175" s="53">
        <f>EFp!H32</f>
        <v>0.28000000000000003</v>
      </c>
      <c r="I175" s="16">
        <f>EFp!I32</f>
        <v>63</v>
      </c>
      <c r="J175" s="16">
        <f>EFp!J32</f>
        <v>67.599999999999994</v>
      </c>
      <c r="K175" s="18">
        <f>EFp!K32</f>
        <v>52</v>
      </c>
      <c r="L175" s="25">
        <f>EFp!L32</f>
        <v>139.27272727272728</v>
      </c>
      <c r="M175" s="36" t="str">
        <f>EFp!M32</f>
        <v>.16-05</v>
      </c>
      <c r="N175" s="25">
        <f>EFp!N32</f>
        <v>186.18181818181819</v>
      </c>
      <c r="O175" s="73" t="str">
        <f>EFp!O32</f>
        <v>.16-05</v>
      </c>
      <c r="P175" s="25">
        <f>EFp!P32</f>
        <v>185</v>
      </c>
      <c r="Q175" s="36" t="str">
        <f>EFp!Q32</f>
        <v>.16-01</v>
      </c>
      <c r="R175" s="31" t="str">
        <f>EFp!R32</f>
        <v>igor</v>
      </c>
      <c r="S175" s="25">
        <f>EFp!S32</f>
        <v>205</v>
      </c>
      <c r="T175" s="36" t="str">
        <f>EFp!T32</f>
        <v>.16-01</v>
      </c>
      <c r="U175" s="31" t="str">
        <f>EFp!U32</f>
        <v>jack's</v>
      </c>
    </row>
    <row r="176" spans="1:21">
      <c r="A176" s="143" t="str">
        <f>STT!A16</f>
        <v>Sigma</v>
      </c>
      <c r="B176" s="11" t="str">
        <f>STT!B16</f>
        <v xml:space="preserve">EX 50/2.8 DG macro </v>
      </c>
      <c r="C176" s="16">
        <f>STT!C16</f>
        <v>50</v>
      </c>
      <c r="D176" s="18">
        <f>STT!D16</f>
        <v>2.8</v>
      </c>
      <c r="E176" s="31">
        <f>STT!E16</f>
        <v>80</v>
      </c>
      <c r="F176" s="16" t="str">
        <f>STT!F16</f>
        <v>EF</v>
      </c>
      <c r="G176" s="58">
        <f>STT!G16</f>
        <v>0.189</v>
      </c>
      <c r="H176" s="53">
        <f>STT!H16</f>
        <v>0.32</v>
      </c>
      <c r="I176" s="16">
        <f>STT!I16</f>
        <v>66.5</v>
      </c>
      <c r="J176" s="16">
        <f>STT!J16</f>
        <v>71.400000000000006</v>
      </c>
      <c r="K176" s="18">
        <f>STT!K16</f>
        <v>55</v>
      </c>
      <c r="L176" s="25">
        <f>STT!L16</f>
        <v>128.14285714285714</v>
      </c>
      <c r="M176" s="36" t="str">
        <f>STT!M16</f>
        <v>.16-05</v>
      </c>
      <c r="N176" s="25">
        <f>STT!N16</f>
        <v>237.77777777777777</v>
      </c>
      <c r="O176" s="73" t="str">
        <f>STT!O16</f>
        <v>.15-01</v>
      </c>
      <c r="P176" s="25">
        <f>STT!P16</f>
        <v>210</v>
      </c>
      <c r="Q176" s="36" t="str">
        <f>STT!Q16</f>
        <v>.16-01</v>
      </c>
      <c r="R176" s="31" t="str">
        <f>STT!R16</f>
        <v>keh</v>
      </c>
      <c r="S176" s="25">
        <f>STT!S16</f>
        <v>170</v>
      </c>
      <c r="T176" s="36" t="str">
        <f>STT!T16</f>
        <v>.16-01</v>
      </c>
      <c r="U176" s="31" t="str">
        <f>STT!U16</f>
        <v>camW</v>
      </c>
    </row>
    <row r="177" spans="1:21">
      <c r="A177" s="143" t="str">
        <f>CZ.V!A113</f>
        <v>Schneider</v>
      </c>
      <c r="B177" s="11" t="str">
        <f>CZ.V!B113</f>
        <v>PC TS Super-Angulon 50/2.8</v>
      </c>
      <c r="C177" s="16">
        <f>CZ.V!C113</f>
        <v>50</v>
      </c>
      <c r="D177" s="18">
        <f>CZ.V!D113</f>
        <v>2.8</v>
      </c>
      <c r="E177" s="31">
        <f>CZ.V!E113</f>
        <v>80</v>
      </c>
      <c r="F177" s="16" t="str">
        <f>CZ.V!F113</f>
        <v>EFx</v>
      </c>
      <c r="G177" s="58">
        <f>CZ.V!G113</f>
        <v>0.65</v>
      </c>
      <c r="H177" s="53">
        <f>CZ.V!H113</f>
        <v>1.4</v>
      </c>
      <c r="I177" s="16">
        <f>CZ.V!I113</f>
        <v>108</v>
      </c>
      <c r="J177" s="16">
        <f>CZ.V!J113</f>
        <v>129</v>
      </c>
      <c r="K177" s="18" t="str">
        <f>CZ.V!K113</f>
        <v xml:space="preserve"> </v>
      </c>
      <c r="L177" s="25">
        <f>CZ.V!L113</f>
        <v>1602.5</v>
      </c>
      <c r="M177" s="36" t="str">
        <f>CZ.V!M113</f>
        <v>.14-08</v>
      </c>
      <c r="N177" s="25">
        <f>CZ.V!N113</f>
        <v>2400.6666666666665</v>
      </c>
      <c r="O177" s="73" t="str">
        <f>CZ.V!O113</f>
        <v>.14-03</v>
      </c>
      <c r="P177" s="25" t="str">
        <f>CZ.V!P113</f>
        <v xml:space="preserve"> </v>
      </c>
      <c r="Q177" s="36" t="str">
        <f>CZ.V!Q113</f>
        <v xml:space="preserve"> </v>
      </c>
      <c r="R177" s="31" t="str">
        <f>CZ.V!R113</f>
        <v xml:space="preserve"> </v>
      </c>
      <c r="S177" s="25" t="str">
        <f>CZ.V!S113</f>
        <v>3365</v>
      </c>
      <c r="T177" s="36" t="str">
        <f>CZ.V!T113</f>
        <v>.13-08</v>
      </c>
      <c r="U177" s="31" t="str">
        <f>CZ.V!U113</f>
        <v>b&amp;h</v>
      </c>
    </row>
    <row r="178" spans="1:21">
      <c r="A178" s="143" t="str">
        <f>LNOP!A127</f>
        <v>Pentax</v>
      </c>
      <c r="B178" s="11" t="str">
        <f>LNOP!B127</f>
        <v>SMC Pentax-A 50/2.8 Macro</v>
      </c>
      <c r="C178" s="16">
        <f>LNOP!C127</f>
        <v>50</v>
      </c>
      <c r="D178" s="18">
        <f>LNOP!D127</f>
        <v>2.8</v>
      </c>
      <c r="E178" s="31">
        <f>LNOP!E127</f>
        <v>80</v>
      </c>
      <c r="F178" s="16" t="str">
        <f>LNOP!F127</f>
        <v>KA</v>
      </c>
      <c r="G178" s="58">
        <f>LNOP!G127</f>
        <v>0.24</v>
      </c>
      <c r="H178" s="53">
        <f>LNOP!H127</f>
        <v>0.22</v>
      </c>
      <c r="I178" s="16">
        <f>LNOP!I127</f>
        <v>50</v>
      </c>
      <c r="J178" s="16">
        <f>LNOP!J127</f>
        <v>63</v>
      </c>
      <c r="K178" s="18">
        <f>LNOP!K127</f>
        <v>49</v>
      </c>
      <c r="L178" s="25">
        <f>LNOP!L127</f>
        <v>142.41666666666666</v>
      </c>
      <c r="M178" s="36" t="str">
        <f>LNOP!M127</f>
        <v>.16-05</v>
      </c>
      <c r="N178" s="25">
        <f>LNOP!N127</f>
        <v>190.66666666666666</v>
      </c>
      <c r="O178" s="73" t="str">
        <f>LNOP!O127</f>
        <v>.16-03</v>
      </c>
      <c r="P178" s="25">
        <f>LNOP!P127</f>
        <v>248</v>
      </c>
      <c r="Q178" s="36" t="str">
        <f>LNOP!Q127</f>
        <v>.15-04</v>
      </c>
      <c r="R178" s="31" t="str">
        <f>LNOP!R127</f>
        <v>keh</v>
      </c>
      <c r="S178" s="25">
        <f>LNOP!S127</f>
        <v>290</v>
      </c>
      <c r="T178" s="36" t="str">
        <f>LNOP!T127</f>
        <v>.15-03</v>
      </c>
      <c r="U178" s="31" t="str">
        <f>LNOP!U127</f>
        <v>b&amp;h</v>
      </c>
    </row>
    <row r="179" spans="1:21">
      <c r="A179" s="143" t="str">
        <f>LNOP!A128</f>
        <v>Pentax</v>
      </c>
      <c r="B179" s="11" t="str">
        <f>LNOP!B128</f>
        <v>SMC Pentax-FA 50/2.8 Macro</v>
      </c>
      <c r="C179" s="16">
        <f>LNOP!C128</f>
        <v>50</v>
      </c>
      <c r="D179" s="18">
        <f>LNOP!D128</f>
        <v>2.8</v>
      </c>
      <c r="E179" s="31">
        <f>LNOP!E128</f>
        <v>80</v>
      </c>
      <c r="F179" s="16" t="str">
        <f>LNOP!F128</f>
        <v>KAF</v>
      </c>
      <c r="G179" s="58">
        <f>LNOP!G128</f>
        <v>0.19</v>
      </c>
      <c r="H179" s="53">
        <f>LNOP!H128</f>
        <v>0.38500000000000001</v>
      </c>
      <c r="I179" s="16">
        <f>LNOP!I128</f>
        <v>70</v>
      </c>
      <c r="J179" s="16">
        <f>LNOP!J128</f>
        <v>68</v>
      </c>
      <c r="K179" s="18">
        <f>LNOP!K128</f>
        <v>52</v>
      </c>
      <c r="L179" s="25">
        <f>LNOP!L128</f>
        <v>191.27272727272728</v>
      </c>
      <c r="M179" s="36" t="str">
        <f>LNOP!M128</f>
        <v>.16-05</v>
      </c>
      <c r="N179" s="25">
        <f>LNOP!N128</f>
        <v>299.25</v>
      </c>
      <c r="O179" s="73" t="str">
        <f>LNOP!O128</f>
        <v>.16-05</v>
      </c>
      <c r="P179" s="25" t="str">
        <f>LNOP!P128</f>
        <v xml:space="preserve"> </v>
      </c>
      <c r="Q179" s="36" t="str">
        <f>LNOP!Q128</f>
        <v xml:space="preserve"> </v>
      </c>
      <c r="R179" s="31" t="str">
        <f>LNOP!R128</f>
        <v xml:space="preserve"> </v>
      </c>
      <c r="S179" s="25" t="str">
        <f>LNOP!S128</f>
        <v xml:space="preserve"> </v>
      </c>
      <c r="T179" s="36" t="str">
        <f>LNOP!T128</f>
        <v xml:space="preserve"> </v>
      </c>
      <c r="U179" s="31" t="str">
        <f>LNOP!U128</f>
        <v xml:space="preserve"> </v>
      </c>
    </row>
    <row r="180" spans="1:21">
      <c r="A180" s="144" t="str">
        <f>'645'!A10</f>
        <v>Mamiya</v>
      </c>
      <c r="B180" s="22" t="str">
        <f>'645'!B10</f>
        <v>Mamiya-Sekor C 50/4 Shift</v>
      </c>
      <c r="C180" s="27">
        <f>'645'!C10</f>
        <v>50</v>
      </c>
      <c r="D180" s="41">
        <f>'645'!D10</f>
        <v>4</v>
      </c>
      <c r="E180" s="33">
        <f>'645'!E10</f>
        <v>80</v>
      </c>
      <c r="F180" s="27" t="str">
        <f>'645'!F10</f>
        <v>M645</v>
      </c>
      <c r="G180" s="55">
        <f>'645'!G10</f>
        <v>0.45</v>
      </c>
      <c r="H180" s="56">
        <f>'645'!H10</f>
        <v>0.73499999999999999</v>
      </c>
      <c r="I180" s="27">
        <f>'645'!I10</f>
        <v>105</v>
      </c>
      <c r="J180" s="27">
        <f>'645'!J10</f>
        <v>80</v>
      </c>
      <c r="K180" s="41">
        <f>'645'!K10</f>
        <v>77</v>
      </c>
      <c r="L180" s="26">
        <f>'645'!L10</f>
        <v>409.69230769230768</v>
      </c>
      <c r="M180" s="24" t="str">
        <f>'645'!M10</f>
        <v>.15-10</v>
      </c>
      <c r="N180" s="26">
        <f>'645'!N10</f>
        <v>517.28571428571433</v>
      </c>
      <c r="O180" s="124" t="str">
        <f>'645'!O10</f>
        <v>.16-01</v>
      </c>
      <c r="P180" s="26">
        <f>'645'!P10</f>
        <v>395</v>
      </c>
      <c r="Q180" s="24" t="str">
        <f>'645'!Q10</f>
        <v>.16-01</v>
      </c>
      <c r="R180" s="33" t="str">
        <f>'645'!R10</f>
        <v>igor</v>
      </c>
      <c r="S180" s="26">
        <f>'645'!S10</f>
        <v>600</v>
      </c>
      <c r="T180" s="24" t="str">
        <f>'645'!T10</f>
        <v>.14-03</v>
      </c>
      <c r="U180" s="33" t="str">
        <f>'645'!U10</f>
        <v>b&amp;h</v>
      </c>
    </row>
    <row r="181" spans="1:21">
      <c r="A181" s="143" t="str">
        <f>CZ.V!A44</f>
        <v>Carl Zeiss</v>
      </c>
      <c r="B181" s="11" t="str">
        <f>CZ.V!B44</f>
        <v>Planar T* 55/1.2 100 Jahre CY</v>
      </c>
      <c r="C181" s="16">
        <f>CZ.V!C44</f>
        <v>55</v>
      </c>
      <c r="D181" s="18">
        <f>CZ.V!D44</f>
        <v>1.2</v>
      </c>
      <c r="E181" s="31">
        <f>CZ.V!E44</f>
        <v>88</v>
      </c>
      <c r="F181" s="16" t="str">
        <f>CZ.V!F44</f>
        <v>CY</v>
      </c>
      <c r="G181" s="58">
        <f>CZ.V!G44</f>
        <v>0.6</v>
      </c>
      <c r="H181" s="53">
        <f>CZ.V!H44</f>
        <v>0.5</v>
      </c>
      <c r="I181" s="16">
        <f>CZ.V!I44</f>
        <v>60</v>
      </c>
      <c r="J181" s="16">
        <f>CZ.V!J44</f>
        <v>80</v>
      </c>
      <c r="K181" s="18">
        <f>CZ.V!K44</f>
        <v>77</v>
      </c>
      <c r="L181" s="25">
        <f>CZ.V!L44</f>
        <v>3951</v>
      </c>
      <c r="M181" s="36" t="str">
        <f>CZ.V!M44</f>
        <v>.16-03</v>
      </c>
      <c r="N181" s="25">
        <f>CZ.V!N44</f>
        <v>6088</v>
      </c>
      <c r="O181" s="73" t="str">
        <f>CZ.V!O44</f>
        <v>.16-03</v>
      </c>
      <c r="P181" s="25">
        <f>CZ.V!P44</f>
        <v>6902</v>
      </c>
      <c r="Q181" s="36" t="str">
        <f>CZ.V!Q44</f>
        <v>.14-08</v>
      </c>
      <c r="R181" s="31" t="str">
        <f>CZ.V!R44</f>
        <v>keh</v>
      </c>
      <c r="S181" s="25">
        <f>CZ.V!S44</f>
        <v>9500</v>
      </c>
      <c r="T181" s="36" t="str">
        <f>CZ.V!T44</f>
        <v>.15-01</v>
      </c>
      <c r="U181" s="31" t="str">
        <f>CZ.V!U44</f>
        <v>kevin</v>
      </c>
    </row>
    <row r="182" spans="1:21">
      <c r="A182" s="143" t="str">
        <f>LNOP!A83</f>
        <v>Olympus</v>
      </c>
      <c r="B182" s="11" t="str">
        <f>LNOP!B83</f>
        <v xml:space="preserve">Zuiko 55/1.2 Auto-S </v>
      </c>
      <c r="C182" s="16">
        <f>LNOP!C83</f>
        <v>55</v>
      </c>
      <c r="D182" s="18">
        <f>LNOP!D83</f>
        <v>1.2</v>
      </c>
      <c r="E182" s="31">
        <f>LNOP!E83</f>
        <v>80</v>
      </c>
      <c r="F182" s="16" t="str">
        <f>LNOP!F83</f>
        <v>OM</v>
      </c>
      <c r="G182" s="58">
        <f>LNOP!G83</f>
        <v>0.45</v>
      </c>
      <c r="H182" s="53">
        <f>LNOP!H83</f>
        <v>0.31</v>
      </c>
      <c r="I182" s="16">
        <f>LNOP!I83</f>
        <v>47</v>
      </c>
      <c r="J182" s="16">
        <f>LNOP!J83</f>
        <v>65</v>
      </c>
      <c r="K182" s="18">
        <f>LNOP!K83</f>
        <v>49</v>
      </c>
      <c r="L182" s="25">
        <f>LNOP!L83</f>
        <v>297.33333333333331</v>
      </c>
      <c r="M182" s="36" t="str">
        <f>LNOP!M83</f>
        <v>.16-05</v>
      </c>
      <c r="N182" s="25">
        <f>LNOP!N83</f>
        <v>391.33333333333331</v>
      </c>
      <c r="O182" s="73" t="str">
        <f>LNOP!O83</f>
        <v>.16-05</v>
      </c>
      <c r="P182" s="25">
        <f>LNOP!P83</f>
        <v>500</v>
      </c>
      <c r="Q182" s="36" t="str">
        <f>LNOP!Q83</f>
        <v>.15-04</v>
      </c>
      <c r="R182" s="31" t="str">
        <f>LNOP!R83</f>
        <v>keh</v>
      </c>
      <c r="S182" s="25">
        <f>LNOP!S83</f>
        <v>750</v>
      </c>
      <c r="T182" s="36" t="str">
        <f>LNOP!T83</f>
        <v>.14-08</v>
      </c>
      <c r="U182" s="31" t="str">
        <f>LNOP!U83</f>
        <v>kevin</v>
      </c>
    </row>
    <row r="183" spans="1:21">
      <c r="A183" s="143" t="str">
        <f>LNOP!A170</f>
        <v>Cosina</v>
      </c>
      <c r="B183" s="11" t="str">
        <f>LNOP!B170</f>
        <v>(Porst) Color Reflex</v>
      </c>
      <c r="C183" s="16">
        <f>LNOP!C170</f>
        <v>55</v>
      </c>
      <c r="D183" s="18">
        <f>LNOP!D170</f>
        <v>1.2</v>
      </c>
      <c r="E183" s="31">
        <f>LNOP!E170</f>
        <v>88</v>
      </c>
      <c r="F183" s="16" t="str">
        <f>LNOP!F170</f>
        <v>x</v>
      </c>
      <c r="G183" s="58">
        <f>LNOP!G170</f>
        <v>0.6</v>
      </c>
      <c r="H183" s="53">
        <f>LNOP!H170</f>
        <v>0.35</v>
      </c>
      <c r="I183" s="16" t="str">
        <f>LNOP!I170</f>
        <v xml:space="preserve"> </v>
      </c>
      <c r="J183" s="16" t="str">
        <f>LNOP!J170</f>
        <v xml:space="preserve"> </v>
      </c>
      <c r="K183" s="18">
        <f>LNOP!K170</f>
        <v>55</v>
      </c>
      <c r="L183" s="25">
        <f>LNOP!L170</f>
        <v>474.33333333333331</v>
      </c>
      <c r="M183" s="36" t="str">
        <f>LNOP!M170</f>
        <v>.16-05</v>
      </c>
      <c r="N183" s="25">
        <f>LNOP!N170</f>
        <v>868.75</v>
      </c>
      <c r="O183" s="73" t="str">
        <f>LNOP!O170</f>
        <v>.13-12</v>
      </c>
      <c r="P183" s="25" t="str">
        <f>LNOP!P170</f>
        <v xml:space="preserve"> </v>
      </c>
      <c r="Q183" s="36" t="str">
        <f>LNOP!Q170</f>
        <v xml:space="preserve"> </v>
      </c>
      <c r="R183" s="31" t="str">
        <f>LNOP!R170</f>
        <v xml:space="preserve"> </v>
      </c>
      <c r="S183" s="25" t="str">
        <f>LNOP!S170</f>
        <v xml:space="preserve"> </v>
      </c>
      <c r="T183" s="36" t="str">
        <f>LNOP!T170</f>
        <v xml:space="preserve"> </v>
      </c>
      <c r="U183" s="31" t="str">
        <f>LNOP!U170</f>
        <v xml:space="preserve"> </v>
      </c>
    </row>
    <row r="184" spans="1:21">
      <c r="A184" s="143" t="str">
        <f>LNOP!A171</f>
        <v>Cosina</v>
      </c>
      <c r="B184" s="11" t="str">
        <f>LNOP!B171</f>
        <v>Revuenon 55/1.2</v>
      </c>
      <c r="C184" s="16">
        <f>LNOP!C171</f>
        <v>55</v>
      </c>
      <c r="D184" s="18">
        <f>LNOP!D171</f>
        <v>1.2</v>
      </c>
      <c r="E184" s="31">
        <f>LNOP!E171</f>
        <v>88</v>
      </c>
      <c r="F184" s="16" t="str">
        <f>LNOP!F171</f>
        <v>K</v>
      </c>
      <c r="G184" s="58">
        <f>LNOP!G171</f>
        <v>0.6</v>
      </c>
      <c r="H184" s="53" t="str">
        <f>LNOP!H171</f>
        <v xml:space="preserve"> </v>
      </c>
      <c r="I184" s="16" t="str">
        <f>LNOP!I171</f>
        <v xml:space="preserve"> </v>
      </c>
      <c r="J184" s="16" t="str">
        <f>LNOP!J171</f>
        <v xml:space="preserve"> </v>
      </c>
      <c r="K184" s="18">
        <f>LNOP!K171</f>
        <v>58</v>
      </c>
      <c r="L184" s="25">
        <f>LNOP!L171</f>
        <v>392.625</v>
      </c>
      <c r="M184" s="36" t="str">
        <f>LNOP!M171</f>
        <v>.16-04</v>
      </c>
      <c r="N184" s="25">
        <f>LNOP!N171</f>
        <v>481</v>
      </c>
      <c r="O184" s="73" t="str">
        <f>LNOP!O171</f>
        <v>.16-03</v>
      </c>
      <c r="P184" s="25" t="str">
        <f>LNOP!P171</f>
        <v xml:space="preserve"> </v>
      </c>
      <c r="Q184" s="36" t="str">
        <f>LNOP!Q171</f>
        <v xml:space="preserve"> </v>
      </c>
      <c r="R184" s="31" t="str">
        <f>LNOP!R171</f>
        <v xml:space="preserve"> </v>
      </c>
      <c r="S184" s="25" t="str">
        <f>LNOP!S171</f>
        <v xml:space="preserve"> </v>
      </c>
      <c r="T184" s="36" t="str">
        <f>LNOP!T171</f>
        <v xml:space="preserve"> </v>
      </c>
      <c r="U184" s="31" t="str">
        <f>LNOP!U171</f>
        <v xml:space="preserve"> </v>
      </c>
    </row>
    <row r="185" spans="1:21">
      <c r="A185" s="143" t="str">
        <f>LNOP!A172</f>
        <v>Tomioka</v>
      </c>
      <c r="B185" s="11" t="str">
        <f>LNOP!B172</f>
        <v>Auto Tominon/Auto Revuenon</v>
      </c>
      <c r="C185" s="16">
        <f>LNOP!C172</f>
        <v>55</v>
      </c>
      <c r="D185" s="18">
        <f>LNOP!D172</f>
        <v>1.2</v>
      </c>
      <c r="E185" s="31">
        <f>LNOP!E172</f>
        <v>88</v>
      </c>
      <c r="F185" s="16" t="str">
        <f>LNOP!F172</f>
        <v>x</v>
      </c>
      <c r="G185" s="58" t="str">
        <f>LNOP!G172</f>
        <v xml:space="preserve"> </v>
      </c>
      <c r="H185" s="53" t="str">
        <f>LNOP!H172</f>
        <v xml:space="preserve"> </v>
      </c>
      <c r="I185" s="16" t="str">
        <f>LNOP!I172</f>
        <v xml:space="preserve"> </v>
      </c>
      <c r="J185" s="16" t="str">
        <f>LNOP!J172</f>
        <v xml:space="preserve"> </v>
      </c>
      <c r="K185" s="18" t="str">
        <f>LNOP!K172</f>
        <v xml:space="preserve"> </v>
      </c>
      <c r="L185" s="25">
        <f>LNOP!L172</f>
        <v>536.5</v>
      </c>
      <c r="M185" s="36" t="str">
        <f>LNOP!M172</f>
        <v>.15-11</v>
      </c>
      <c r="N185" s="25">
        <f>LNOP!N172</f>
        <v>1131.5</v>
      </c>
      <c r="O185" s="73" t="str">
        <f>LNOP!O172</f>
        <v>.16-03</v>
      </c>
      <c r="P185" s="25" t="str">
        <f>LNOP!P172</f>
        <v xml:space="preserve"> </v>
      </c>
      <c r="Q185" s="36" t="str">
        <f>LNOP!Q172</f>
        <v xml:space="preserve"> </v>
      </c>
      <c r="R185" s="31" t="str">
        <f>LNOP!R172</f>
        <v xml:space="preserve"> </v>
      </c>
      <c r="S185" s="25" t="str">
        <f>LNOP!S172</f>
        <v xml:space="preserve"> </v>
      </c>
      <c r="T185" s="36" t="str">
        <f>LNOP!T172</f>
        <v xml:space="preserve"> </v>
      </c>
      <c r="U185" s="31" t="str">
        <f>LNOP!U172</f>
        <v xml:space="preserve"> </v>
      </c>
    </row>
    <row r="186" spans="1:21">
      <c r="A186" s="143" t="str">
        <f>LNOP!A173</f>
        <v>Tomioka</v>
      </c>
      <c r="B186" s="11" t="str">
        <f>LNOP!B173</f>
        <v>Auto Yashinon/Cosinon</v>
      </c>
      <c r="C186" s="16">
        <f>LNOP!C173</f>
        <v>55</v>
      </c>
      <c r="D186" s="18">
        <f>LNOP!D173</f>
        <v>1.2</v>
      </c>
      <c r="E186" s="31">
        <f>LNOP!E173</f>
        <v>88</v>
      </c>
      <c r="F186" s="16" t="str">
        <f>LNOP!F173</f>
        <v>x</v>
      </c>
      <c r="G186" s="58" t="str">
        <f>LNOP!G173</f>
        <v xml:space="preserve"> </v>
      </c>
      <c r="H186" s="53" t="str">
        <f>LNOP!H173</f>
        <v xml:space="preserve"> </v>
      </c>
      <c r="I186" s="16" t="str">
        <f>LNOP!I173</f>
        <v xml:space="preserve"> </v>
      </c>
      <c r="J186" s="16" t="str">
        <f>LNOP!J173</f>
        <v xml:space="preserve"> </v>
      </c>
      <c r="K186" s="18" t="str">
        <f>LNOP!K173</f>
        <v xml:space="preserve"> </v>
      </c>
      <c r="L186" s="25">
        <f>LNOP!L173</f>
        <v>497.16666666666669</v>
      </c>
      <c r="M186" s="36" t="str">
        <f>LNOP!M173</f>
        <v>.16-01</v>
      </c>
      <c r="N186" s="25">
        <f>LNOP!N173</f>
        <v>647</v>
      </c>
      <c r="O186" s="73" t="str">
        <f>LNOP!O173</f>
        <v>.16-04</v>
      </c>
      <c r="P186" s="25" t="str">
        <f>LNOP!P173</f>
        <v xml:space="preserve"> </v>
      </c>
      <c r="Q186" s="36" t="str">
        <f>LNOP!Q173</f>
        <v xml:space="preserve"> </v>
      </c>
      <c r="R186" s="31" t="str">
        <f>LNOP!R173</f>
        <v xml:space="preserve"> </v>
      </c>
      <c r="S186" s="25" t="str">
        <f>LNOP!S173</f>
        <v xml:space="preserve"> </v>
      </c>
      <c r="T186" s="36" t="str">
        <f>LNOP!T173</f>
        <v xml:space="preserve"> </v>
      </c>
      <c r="U186" s="31" t="str">
        <f>LNOP!U173</f>
        <v xml:space="preserve"> </v>
      </c>
    </row>
    <row r="187" spans="1:21">
      <c r="A187" s="143" t="str">
        <f>LNOP!A174</f>
        <v>Yashica</v>
      </c>
      <c r="B187" s="11" t="str">
        <f>LNOP!B174</f>
        <v>Yashica Lens ML</v>
      </c>
      <c r="C187" s="16">
        <f>LNOP!C174</f>
        <v>55</v>
      </c>
      <c r="D187" s="18">
        <f>LNOP!D174</f>
        <v>1.2</v>
      </c>
      <c r="E187" s="31">
        <f>LNOP!E174</f>
        <v>88</v>
      </c>
      <c r="F187" s="16" t="str">
        <f>LNOP!F174</f>
        <v>x</v>
      </c>
      <c r="G187" s="58" t="str">
        <f>LNOP!G174</f>
        <v xml:space="preserve"> </v>
      </c>
      <c r="H187" s="53" t="str">
        <f>LNOP!H174</f>
        <v xml:space="preserve"> </v>
      </c>
      <c r="I187" s="16" t="str">
        <f>LNOP!I174</f>
        <v xml:space="preserve"> </v>
      </c>
      <c r="J187" s="16" t="str">
        <f>LNOP!J174</f>
        <v xml:space="preserve"> </v>
      </c>
      <c r="K187" s="18" t="str">
        <f>LNOP!K174</f>
        <v xml:space="preserve"> </v>
      </c>
      <c r="L187" s="25">
        <f>LNOP!L174</f>
        <v>531</v>
      </c>
      <c r="M187" s="36" t="str">
        <f>LNOP!M174</f>
        <v>.14-06</v>
      </c>
      <c r="N187" s="25">
        <f>LNOP!N174</f>
        <v>670</v>
      </c>
      <c r="O187" s="73" t="str">
        <f>LNOP!O174</f>
        <v>.14-08</v>
      </c>
      <c r="P187" s="25" t="str">
        <f>LNOP!P174</f>
        <v xml:space="preserve"> </v>
      </c>
      <c r="Q187" s="36" t="str">
        <f>LNOP!Q174</f>
        <v xml:space="preserve"> </v>
      </c>
      <c r="R187" s="31" t="str">
        <f>LNOP!R174</f>
        <v xml:space="preserve"> </v>
      </c>
      <c r="S187" s="25" t="str">
        <f>LNOP!S174</f>
        <v xml:space="preserve"> </v>
      </c>
      <c r="T187" s="36" t="str">
        <f>LNOP!T174</f>
        <v xml:space="preserve"> </v>
      </c>
      <c r="U187" s="31" t="str">
        <f>LNOP!U174</f>
        <v xml:space="preserve"> </v>
      </c>
    </row>
    <row r="188" spans="1:21">
      <c r="A188" s="143" t="str">
        <f>CZ.V!A15</f>
        <v>Carl Zeiss</v>
      </c>
      <c r="B188" s="11" t="str">
        <f>CZ.V!B15</f>
        <v>Otus Apo Dist'gn T* 55/1.4 ZE</v>
      </c>
      <c r="C188" s="16">
        <f>CZ.V!C15</f>
        <v>55</v>
      </c>
      <c r="D188" s="18">
        <f>CZ.V!D15</f>
        <v>1.4</v>
      </c>
      <c r="E188" s="31">
        <f>CZ.V!E15</f>
        <v>88</v>
      </c>
      <c r="F188" s="16" t="str">
        <f>CZ.V!F15</f>
        <v>ZE</v>
      </c>
      <c r="G188" s="58">
        <f>CZ.V!G15</f>
        <v>0.5</v>
      </c>
      <c r="H188" s="53">
        <f>CZ.V!H15</f>
        <v>1.03</v>
      </c>
      <c r="I188" s="16">
        <f>CZ.V!I15</f>
        <v>127.3</v>
      </c>
      <c r="J188" s="16">
        <f>CZ.V!J15</f>
        <v>92.4</v>
      </c>
      <c r="K188" s="18">
        <f>CZ.V!K15</f>
        <v>77</v>
      </c>
      <c r="L188" s="25">
        <f>CZ.V!L15</f>
        <v>2494.6666666666665</v>
      </c>
      <c r="M188" s="36" t="str">
        <f>CZ.V!M15</f>
        <v>.16-05</v>
      </c>
      <c r="N188" s="25">
        <f>CZ.V!N15</f>
        <v>2988</v>
      </c>
      <c r="O188" s="73" t="str">
        <f>CZ.V!O15</f>
        <v>.16-05</v>
      </c>
      <c r="P188" s="25">
        <f>CZ.V!P15</f>
        <v>3310</v>
      </c>
      <c r="Q188" s="36" t="str">
        <f>CZ.V!Q15</f>
        <v>.16-03</v>
      </c>
      <c r="R188" s="31" t="str">
        <f>CZ.V!R15</f>
        <v>LA</v>
      </c>
      <c r="S188" s="25">
        <f>CZ.V!S15</f>
        <v>3500</v>
      </c>
      <c r="T188" s="36" t="str">
        <f>CZ.V!T15</f>
        <v>.15-04</v>
      </c>
      <c r="U188" s="31" t="str">
        <f>CZ.V!U15</f>
        <v>ado</v>
      </c>
    </row>
    <row r="189" spans="1:21">
      <c r="A189" s="143" t="str">
        <f>'645'!A40</f>
        <v>Pentax</v>
      </c>
      <c r="B189" s="11" t="str">
        <f>'645'!B40</f>
        <v>SMC Pentax-A 645 55/2.8</v>
      </c>
      <c r="C189" s="16">
        <f>'645'!C40</f>
        <v>55</v>
      </c>
      <c r="D189" s="18">
        <f>'645'!D40</f>
        <v>2.8</v>
      </c>
      <c r="E189" s="31">
        <f>'645'!E40</f>
        <v>56</v>
      </c>
      <c r="F189" s="16" t="str">
        <f>'645'!F40</f>
        <v>P645</v>
      </c>
      <c r="G189" s="58">
        <f>'645'!G40</f>
        <v>0.45</v>
      </c>
      <c r="H189" s="53">
        <f>'645'!H40</f>
        <v>0.41</v>
      </c>
      <c r="I189" s="16">
        <f>'645'!I40</f>
        <v>60.5</v>
      </c>
      <c r="J189" s="16">
        <f>'645'!J40</f>
        <v>74</v>
      </c>
      <c r="K189" s="18">
        <f>'645'!K40</f>
        <v>58</v>
      </c>
      <c r="L189" s="25">
        <f>'645'!L40</f>
        <v>122.88888888888889</v>
      </c>
      <c r="M189" s="36" t="str">
        <f>'645'!M40</f>
        <v>.16-05</v>
      </c>
      <c r="N189" s="25">
        <f>'645'!N40</f>
        <v>184</v>
      </c>
      <c r="O189" s="73" t="str">
        <f>'645'!O40</f>
        <v>.16-05</v>
      </c>
      <c r="P189" s="25">
        <f>'645'!P40</f>
        <v>200</v>
      </c>
      <c r="Q189" s="36" t="str">
        <f>'645'!Q40</f>
        <v>.15-04</v>
      </c>
      <c r="R189" s="31" t="str">
        <f>'645'!R40</f>
        <v>b&amp;h</v>
      </c>
      <c r="S189" s="25">
        <f>'645'!S40</f>
        <v>220</v>
      </c>
      <c r="T189" s="36" t="str">
        <f>'645'!T40</f>
        <v>.16-01</v>
      </c>
      <c r="U189" s="31" t="str">
        <f>'645'!U40</f>
        <v>b&amp;h</v>
      </c>
    </row>
    <row r="190" spans="1:21">
      <c r="A190" s="143" t="str">
        <f>'645'!A41</f>
        <v>Pentax</v>
      </c>
      <c r="B190" s="11" t="str">
        <f>'645'!B41</f>
        <v>SMC Pentax-FA 645 55/2.8 AL</v>
      </c>
      <c r="C190" s="16">
        <f>'645'!C41</f>
        <v>55</v>
      </c>
      <c r="D190" s="18">
        <f>'645'!D41</f>
        <v>2.8</v>
      </c>
      <c r="E190" s="31">
        <f>'645'!E41</f>
        <v>56</v>
      </c>
      <c r="F190" s="16" t="str">
        <f>'645'!F41</f>
        <v>P645</v>
      </c>
      <c r="G190" s="58">
        <f>'645'!G41</f>
        <v>0.5</v>
      </c>
      <c r="H190" s="53">
        <f>'645'!H41</f>
        <v>0.41599999999999998</v>
      </c>
      <c r="I190" s="16">
        <f>'645'!I41</f>
        <v>68.2</v>
      </c>
      <c r="J190" s="16">
        <f>'645'!J41</f>
        <v>81.3</v>
      </c>
      <c r="K190" s="18">
        <f>'645'!K41</f>
        <v>67</v>
      </c>
      <c r="L190" s="25">
        <f>'645'!L41</f>
        <v>0</v>
      </c>
      <c r="M190" s="36" t="str">
        <f>'645'!M41</f>
        <v xml:space="preserve"> </v>
      </c>
      <c r="N190" s="25">
        <f>'645'!N41</f>
        <v>0</v>
      </c>
      <c r="O190" s="73" t="str">
        <f>'645'!O41</f>
        <v xml:space="preserve"> </v>
      </c>
      <c r="P190" s="25" t="str">
        <f>'645'!P41</f>
        <v xml:space="preserve"> </v>
      </c>
      <c r="Q190" s="36" t="str">
        <f>'645'!Q41</f>
        <v xml:space="preserve"> </v>
      </c>
      <c r="R190" s="31" t="str">
        <f>'645'!R41</f>
        <v xml:space="preserve"> </v>
      </c>
      <c r="S190" s="25">
        <f>'645'!S41</f>
        <v>920</v>
      </c>
      <c r="T190" s="36" t="str">
        <f>'645'!T41</f>
        <v>.14-01</v>
      </c>
      <c r="U190" s="31" t="str">
        <f>'645'!U41</f>
        <v>keh</v>
      </c>
    </row>
    <row r="191" spans="1:21">
      <c r="A191" s="143" t="str">
        <f>LNOP!A166</f>
        <v>Fuji Photo</v>
      </c>
      <c r="B191" s="11" t="str">
        <f>LNOP!B166</f>
        <v xml:space="preserve">EBC Fujinon Macro 55/3.5 </v>
      </c>
      <c r="C191" s="16">
        <f>LNOP!C166</f>
        <v>55</v>
      </c>
      <c r="D191" s="18">
        <f>LNOP!D166</f>
        <v>3.5</v>
      </c>
      <c r="E191" s="31">
        <f>LNOP!E166</f>
        <v>88</v>
      </c>
      <c r="F191" s="16" t="str">
        <f>LNOP!F166</f>
        <v>M42</v>
      </c>
      <c r="G191" s="58">
        <f>LNOP!G166</f>
        <v>0.4</v>
      </c>
      <c r="H191" s="53">
        <f>LNOP!H166</f>
        <v>0.185</v>
      </c>
      <c r="I191" s="16" t="str">
        <f>LNOP!I166</f>
        <v xml:space="preserve"> </v>
      </c>
      <c r="J191" s="16" t="str">
        <f>LNOP!J166</f>
        <v xml:space="preserve"> </v>
      </c>
      <c r="K191" s="18">
        <f>LNOP!K166</f>
        <v>49</v>
      </c>
      <c r="L191" s="25">
        <f>LNOP!L166</f>
        <v>145.33333333333334</v>
      </c>
      <c r="M191" s="36" t="str">
        <f>LNOP!M166</f>
        <v>.15-12</v>
      </c>
      <c r="N191" s="25">
        <f>LNOP!N166</f>
        <v>272.33333333333331</v>
      </c>
      <c r="O191" s="73" t="str">
        <f>LNOP!O166</f>
        <v>.16-05</v>
      </c>
      <c r="P191" s="25" t="str">
        <f>LNOP!P166</f>
        <v xml:space="preserve"> </v>
      </c>
      <c r="Q191" s="36" t="str">
        <f>LNOP!Q166</f>
        <v xml:space="preserve"> </v>
      </c>
      <c r="R191" s="31" t="str">
        <f>LNOP!R166</f>
        <v xml:space="preserve"> </v>
      </c>
      <c r="S191" s="25" t="str">
        <f>LNOP!S166</f>
        <v xml:space="preserve"> </v>
      </c>
      <c r="T191" s="36" t="str">
        <f>LNOP!T166</f>
        <v xml:space="preserve"> </v>
      </c>
      <c r="U191" s="31" t="str">
        <f>LNOP!U166</f>
        <v xml:space="preserve"> </v>
      </c>
    </row>
    <row r="192" spans="1:21">
      <c r="A192" s="144" t="str">
        <f>'645'!A11</f>
        <v>Mamiya</v>
      </c>
      <c r="B192" s="22" t="str">
        <f>'645'!B11</f>
        <v>Mamiya-Sekor C 55/2.8 N</v>
      </c>
      <c r="C192" s="27">
        <f>'645'!C11</f>
        <v>55</v>
      </c>
      <c r="D192" s="41" t="str">
        <f>'645'!D11</f>
        <v>2.8</v>
      </c>
      <c r="E192" s="33">
        <f>'645'!E11</f>
        <v>88</v>
      </c>
      <c r="F192" s="27" t="str">
        <f>'645'!F11</f>
        <v>M645</v>
      </c>
      <c r="G192" s="55">
        <f>'645'!G11</f>
        <v>0.45</v>
      </c>
      <c r="H192" s="56">
        <f>'645'!H11</f>
        <v>0.30499999999999999</v>
      </c>
      <c r="I192" s="27">
        <f>'645'!I11</f>
        <v>59</v>
      </c>
      <c r="J192" s="27">
        <f>'645'!J11</f>
        <v>70</v>
      </c>
      <c r="K192" s="41">
        <f>'645'!K11</f>
        <v>58</v>
      </c>
      <c r="L192" s="26">
        <f>'645'!L11</f>
        <v>130.36363636363637</v>
      </c>
      <c r="M192" s="24" t="str">
        <f>'645'!M11</f>
        <v>.16-05</v>
      </c>
      <c r="N192" s="26">
        <f>'645'!N11</f>
        <v>173.33333333333334</v>
      </c>
      <c r="O192" s="124" t="str">
        <f>'645'!O11</f>
        <v>.16-03</v>
      </c>
      <c r="P192" s="26">
        <f>'645'!P11</f>
        <v>133</v>
      </c>
      <c r="Q192" s="24" t="str">
        <f>'645'!Q11</f>
        <v>.16-01</v>
      </c>
      <c r="R192" s="33" t="str">
        <f>'645'!R11</f>
        <v>keh</v>
      </c>
      <c r="S192" s="26">
        <f>'645'!S11</f>
        <v>170</v>
      </c>
      <c r="T192" s="24" t="str">
        <f>'645'!T11</f>
        <v>.16-01</v>
      </c>
      <c r="U192" s="33" t="str">
        <f>'645'!U11</f>
        <v>b&amp;h</v>
      </c>
    </row>
    <row r="193" spans="1:21">
      <c r="A193" s="143" t="str">
        <f>LNOP!A52</f>
        <v>Nikon</v>
      </c>
      <c r="B193" s="11" t="str">
        <f>LNOP!B52</f>
        <v>Noct-Nikkor 58/1.2</v>
      </c>
      <c r="C193" s="16">
        <f>LNOP!C52</f>
        <v>58</v>
      </c>
      <c r="D193" s="18">
        <f>LNOP!D52</f>
        <v>1.2</v>
      </c>
      <c r="E193" s="31">
        <f>LNOP!E52</f>
        <v>92.8</v>
      </c>
      <c r="F193" s="16" t="str">
        <f>LNOP!F52</f>
        <v>AI</v>
      </c>
      <c r="G193" s="58">
        <f>LNOP!G52</f>
        <v>0.5</v>
      </c>
      <c r="H193" s="53">
        <f>LNOP!H52</f>
        <v>0.46500000000000002</v>
      </c>
      <c r="I193" s="16">
        <f>LNOP!I52</f>
        <v>51.5</v>
      </c>
      <c r="J193" s="16">
        <f>LNOP!J52</f>
        <v>74</v>
      </c>
      <c r="K193" s="18">
        <f>LNOP!K52</f>
        <v>52</v>
      </c>
      <c r="L193" s="25">
        <f>LNOP!L52</f>
        <v>2712.2</v>
      </c>
      <c r="M193" s="36" t="str">
        <f>LNOP!M52</f>
        <v>.16-05</v>
      </c>
      <c r="N193" s="25">
        <f>LNOP!N52</f>
        <v>3286</v>
      </c>
      <c r="O193" s="73" t="str">
        <f>LNOP!O52</f>
        <v>.16-01</v>
      </c>
      <c r="P193" s="25">
        <f>LNOP!P52</f>
        <v>3000</v>
      </c>
      <c r="Q193" s="36" t="str">
        <f>LNOP!Q52</f>
        <v>.13-04</v>
      </c>
      <c r="R193" s="31" t="str">
        <f>LNOP!R52</f>
        <v>ado</v>
      </c>
      <c r="S193" s="25" t="str">
        <f>LNOP!S52</f>
        <v xml:space="preserve"> </v>
      </c>
      <c r="T193" s="36" t="str">
        <f>LNOP!T52</f>
        <v xml:space="preserve"> </v>
      </c>
      <c r="U193" s="31" t="str">
        <f>LNOP!U52</f>
        <v xml:space="preserve"> </v>
      </c>
    </row>
    <row r="194" spans="1:21">
      <c r="A194" s="143" t="str">
        <f>LNOP!A159</f>
        <v>Minolta</v>
      </c>
      <c r="B194" s="11" t="str">
        <f>LNOP!B159</f>
        <v>MC Rokkor-X 58/1.2</v>
      </c>
      <c r="C194" s="16">
        <f>LNOP!C159</f>
        <v>58</v>
      </c>
      <c r="D194" s="18">
        <f>LNOP!D159</f>
        <v>1.2</v>
      </c>
      <c r="E194" s="31">
        <f>LNOP!E159</f>
        <v>92.800000000000011</v>
      </c>
      <c r="F194" s="16" t="str">
        <f>LNOP!F159</f>
        <v>MD</v>
      </c>
      <c r="G194" s="58">
        <f>LNOP!G159</f>
        <v>0.6</v>
      </c>
      <c r="H194" s="53">
        <f>LNOP!H159</f>
        <v>0.45500000000000002</v>
      </c>
      <c r="I194" s="16">
        <f>LNOP!I159</f>
        <v>54</v>
      </c>
      <c r="J194" s="16">
        <f>LNOP!J159</f>
        <v>69</v>
      </c>
      <c r="K194" s="18">
        <f>LNOP!K159</f>
        <v>55</v>
      </c>
      <c r="L194" s="25">
        <f>LNOP!L159</f>
        <v>363.75</v>
      </c>
      <c r="M194" s="36" t="str">
        <f>LNOP!M159</f>
        <v>.16-05</v>
      </c>
      <c r="N194" s="25">
        <f>LNOP!N159</f>
        <v>560.5454545454545</v>
      </c>
      <c r="O194" s="73" t="str">
        <f>LNOP!O159</f>
        <v>.16-05</v>
      </c>
      <c r="P194" s="25">
        <f>LNOP!P159</f>
        <v>450</v>
      </c>
      <c r="Q194" s="36" t="str">
        <f>LNOP!Q159</f>
        <v>.13-07</v>
      </c>
      <c r="R194" s="31" t="str">
        <f>LNOP!R159</f>
        <v>b&amp;h</v>
      </c>
      <c r="S194" s="25" t="str">
        <f>LNOP!S159</f>
        <v xml:space="preserve"> </v>
      </c>
      <c r="T194" s="36" t="str">
        <f>LNOP!T159</f>
        <v xml:space="preserve"> </v>
      </c>
      <c r="U194" s="31" t="str">
        <f>LNOP!U159</f>
        <v xml:space="preserve"> </v>
      </c>
    </row>
    <row r="195" spans="1:21">
      <c r="A195" s="143" t="str">
        <f>CZ.V!A105</f>
        <v>Voigtlander</v>
      </c>
      <c r="B195" s="11" t="str">
        <f>CZ.V!B105</f>
        <v xml:space="preserve">58/1.4 Nokton SL-II </v>
      </c>
      <c r="C195" s="16">
        <f>CZ.V!C105</f>
        <v>58</v>
      </c>
      <c r="D195" s="18">
        <f>CZ.V!D105</f>
        <v>1.4</v>
      </c>
      <c r="E195" s="31">
        <f>CZ.V!E105</f>
        <v>92.800000000000011</v>
      </c>
      <c r="F195" s="16" t="str">
        <f>CZ.V!F105</f>
        <v>x</v>
      </c>
      <c r="G195" s="58">
        <f>CZ.V!G105</f>
        <v>0.45</v>
      </c>
      <c r="H195" s="53">
        <f>CZ.V!H105</f>
        <v>0.32</v>
      </c>
      <c r="I195" s="16">
        <f>CZ.V!I105</f>
        <v>47.5</v>
      </c>
      <c r="J195" s="16">
        <f>CZ.V!J105</f>
        <v>64.400000000000006</v>
      </c>
      <c r="K195" s="18">
        <f>CZ.V!K105</f>
        <v>58</v>
      </c>
      <c r="L195" s="25">
        <f>CZ.V!L105</f>
        <v>343.45454545454544</v>
      </c>
      <c r="M195" s="36" t="str">
        <f>CZ.V!M105</f>
        <v>.16-05</v>
      </c>
      <c r="N195" s="25">
        <f>CZ.V!N105</f>
        <v>419</v>
      </c>
      <c r="O195" s="73" t="str">
        <f>CZ.V!O105</f>
        <v>.16-05</v>
      </c>
      <c r="P195" s="25" t="str">
        <f>CZ.V!P105</f>
        <v xml:space="preserve"> </v>
      </c>
      <c r="Q195" s="36" t="str">
        <f>CZ.V!Q105</f>
        <v xml:space="preserve"> </v>
      </c>
      <c r="R195" s="31" t="str">
        <f>CZ.V!R105</f>
        <v xml:space="preserve"> </v>
      </c>
      <c r="S195" s="25">
        <f>CZ.V!S105</f>
        <v>402.8</v>
      </c>
      <c r="T195" s="36" t="str">
        <f>CZ.V!T105</f>
        <v>.11-05</v>
      </c>
      <c r="U195" s="31" t="str">
        <f>CZ.V!U105</f>
        <v>camtec</v>
      </c>
    </row>
    <row r="196" spans="1:21">
      <c r="A196" s="144" t="str">
        <f>CZ.V!A118</f>
        <v>Meyer</v>
      </c>
      <c r="B196" s="22" t="str">
        <f>CZ.V!B118</f>
        <v>Primoplan 75/1.9 V (MC)</v>
      </c>
      <c r="C196" s="27">
        <f>CZ.V!C118</f>
        <v>75</v>
      </c>
      <c r="D196" s="41">
        <f>CZ.V!D118</f>
        <v>1.9</v>
      </c>
      <c r="E196" s="33">
        <f>CZ.V!E118</f>
        <v>120</v>
      </c>
      <c r="F196" s="27" t="str">
        <f>CZ.V!F118</f>
        <v>M42</v>
      </c>
      <c r="G196" s="55">
        <f>CZ.V!G118</f>
        <v>1</v>
      </c>
      <c r="H196" s="56">
        <f>CZ.V!H118</f>
        <v>0.249</v>
      </c>
      <c r="I196" s="27">
        <f>CZ.V!I118</f>
        <v>65</v>
      </c>
      <c r="J196" s="27">
        <f>CZ.V!J118</f>
        <v>55</v>
      </c>
      <c r="K196" s="41" t="str">
        <f>CZ.V!K118</f>
        <v xml:space="preserve"> </v>
      </c>
      <c r="L196" s="26">
        <f>CZ.V!L118</f>
        <v>1074</v>
      </c>
      <c r="M196" s="24" t="str">
        <f>CZ.V!M118</f>
        <v>.16-03</v>
      </c>
      <c r="N196" s="26">
        <f>CZ.V!N118</f>
        <v>1845</v>
      </c>
      <c r="O196" s="124" t="str">
        <f>CZ.V!O118</f>
        <v>.16-05</v>
      </c>
      <c r="P196" s="26" t="str">
        <f>CZ.V!P118</f>
        <v xml:space="preserve"> </v>
      </c>
      <c r="Q196" s="24" t="str">
        <f>CZ.V!Q118</f>
        <v xml:space="preserve"> </v>
      </c>
      <c r="R196" s="33" t="str">
        <f>CZ.V!R118</f>
        <v xml:space="preserve"> </v>
      </c>
      <c r="S196" s="26" t="str">
        <f>CZ.V!S118</f>
        <v xml:space="preserve"> </v>
      </c>
      <c r="T196" s="24" t="str">
        <f>CZ.V!T118</f>
        <v xml:space="preserve"> </v>
      </c>
      <c r="U196" s="33" t="str">
        <f>CZ.V!U118</f>
        <v xml:space="preserve"> </v>
      </c>
    </row>
    <row r="197" spans="1:21">
      <c r="A197" s="143" t="str">
        <f>CZ.V!A45</f>
        <v>Carl Zeiss</v>
      </c>
      <c r="B197" s="11" t="str">
        <f>CZ.V!B45</f>
        <v>S-Planar T* 60/2.8 CY [1:1]</v>
      </c>
      <c r="C197" s="16">
        <f>CZ.V!C45</f>
        <v>60</v>
      </c>
      <c r="D197" s="18">
        <f>CZ.V!D45</f>
        <v>2.8</v>
      </c>
      <c r="E197" s="31">
        <f>CZ.V!E45</f>
        <v>96</v>
      </c>
      <c r="F197" s="16" t="str">
        <f>CZ.V!F45</f>
        <v>CY</v>
      </c>
      <c r="G197" s="58">
        <f>CZ.V!G45</f>
        <v>0.27</v>
      </c>
      <c r="H197" s="53">
        <f>CZ.V!H45</f>
        <v>0.35</v>
      </c>
      <c r="I197" s="16">
        <f>CZ.V!I45</f>
        <v>60</v>
      </c>
      <c r="J197" s="16">
        <f>CZ.V!J45</f>
        <v>62.5</v>
      </c>
      <c r="K197" s="18">
        <f>CZ.V!K45</f>
        <v>55</v>
      </c>
      <c r="L197" s="25">
        <f>CZ.V!L45</f>
        <v>450</v>
      </c>
      <c r="M197" s="36" t="str">
        <f>CZ.V!M45</f>
        <v>.15-08</v>
      </c>
      <c r="N197" s="25">
        <f>CZ.V!N45</f>
        <v>0</v>
      </c>
      <c r="O197" s="73" t="str">
        <f>CZ.V!O45</f>
        <v xml:space="preserve"> </v>
      </c>
      <c r="P197" s="25" t="str">
        <f>CZ.V!P45</f>
        <v xml:space="preserve"> </v>
      </c>
      <c r="Q197" s="36" t="str">
        <f>CZ.V!Q45</f>
        <v xml:space="preserve"> </v>
      </c>
      <c r="R197" s="31" t="str">
        <f>CZ.V!R45</f>
        <v xml:space="preserve"> </v>
      </c>
      <c r="S197" s="25" t="str">
        <f>CZ.V!S45</f>
        <v xml:space="preserve"> </v>
      </c>
      <c r="T197" s="36" t="str">
        <f>CZ.V!T45</f>
        <v xml:space="preserve"> </v>
      </c>
      <c r="U197" s="31" t="str">
        <f>CZ.V!U45</f>
        <v xml:space="preserve"> </v>
      </c>
    </row>
    <row r="198" spans="1:21">
      <c r="A198" s="143" t="str">
        <f>CZ.V!A46</f>
        <v>Carl Zeiss</v>
      </c>
      <c r="B198" s="11" t="str">
        <f>CZ.V!B46</f>
        <v>S-Planar 1:2.8 f=60mm CY [1:1]</v>
      </c>
      <c r="C198" s="16">
        <f>CZ.V!C46</f>
        <v>60</v>
      </c>
      <c r="D198" s="18">
        <f>CZ.V!D46</f>
        <v>2.8</v>
      </c>
      <c r="E198" s="31">
        <f>CZ.V!E46</f>
        <v>96</v>
      </c>
      <c r="F198" s="16" t="str">
        <f>CZ.V!F46</f>
        <v>CY</v>
      </c>
      <c r="G198" s="58">
        <f>CZ.V!G46</f>
        <v>0.27</v>
      </c>
      <c r="H198" s="53">
        <f>CZ.V!H46</f>
        <v>0.56999999999999995</v>
      </c>
      <c r="I198" s="16">
        <f>CZ.V!I46</f>
        <v>74</v>
      </c>
      <c r="J198" s="16">
        <f>CZ.V!J46</f>
        <v>75.5</v>
      </c>
      <c r="K198" s="18">
        <f>CZ.V!K46</f>
        <v>67</v>
      </c>
      <c r="L198" s="25">
        <f>CZ.V!L46</f>
        <v>392</v>
      </c>
      <c r="M198" s="36" t="str">
        <f>CZ.V!M46</f>
        <v>.16-05</v>
      </c>
      <c r="N198" s="25">
        <f>CZ.V!N46</f>
        <v>471</v>
      </c>
      <c r="O198" s="73" t="str">
        <f>CZ.V!O46</f>
        <v>.16-03</v>
      </c>
      <c r="P198" s="25">
        <f>CZ.V!P46</f>
        <v>650</v>
      </c>
      <c r="Q198" s="36" t="str">
        <f>CZ.V!Q46</f>
        <v>.16-05</v>
      </c>
      <c r="R198" s="31" t="str">
        <f>CZ.V!R46</f>
        <v>keh</v>
      </c>
      <c r="S198" s="25">
        <f>CZ.V!S46</f>
        <v>822</v>
      </c>
      <c r="T198" s="36" t="str">
        <f>CZ.V!T46</f>
        <v>.16-05</v>
      </c>
      <c r="U198" s="31" t="str">
        <f>CZ.V!U46</f>
        <v>keh</v>
      </c>
    </row>
    <row r="199" spans="1:21">
      <c r="A199" s="143" t="str">
        <f>CZ.V!A47</f>
        <v>Carl Zeiss</v>
      </c>
      <c r="B199" s="11" t="str">
        <f>CZ.V!B47</f>
        <v>Makro-Planar 1:2.8 f=60mm CY [1:1]</v>
      </c>
      <c r="C199" s="16">
        <f>CZ.V!C47</f>
        <v>60</v>
      </c>
      <c r="D199" s="18">
        <f>CZ.V!D47</f>
        <v>2.8</v>
      </c>
      <c r="E199" s="31">
        <f>CZ.V!E47</f>
        <v>96</v>
      </c>
      <c r="F199" s="16" t="str">
        <f>CZ.V!F47</f>
        <v>CY</v>
      </c>
      <c r="G199" s="58">
        <f>CZ.V!G47</f>
        <v>0.27</v>
      </c>
      <c r="H199" s="53">
        <f>CZ.V!H47</f>
        <v>0.56999999999999995</v>
      </c>
      <c r="I199" s="16">
        <f>CZ.V!I47</f>
        <v>74</v>
      </c>
      <c r="J199" s="16">
        <f>CZ.V!J47</f>
        <v>75.5</v>
      </c>
      <c r="K199" s="18">
        <f>CZ.V!K47</f>
        <v>67</v>
      </c>
      <c r="L199" s="25">
        <f>CZ.V!L47</f>
        <v>430</v>
      </c>
      <c r="M199" s="36" t="str">
        <f>CZ.V!M47</f>
        <v>.16-04</v>
      </c>
      <c r="N199" s="25">
        <f>CZ.V!N47</f>
        <v>589.5454545454545</v>
      </c>
      <c r="O199" s="73" t="str">
        <f>CZ.V!O47</f>
        <v>.16-03</v>
      </c>
      <c r="P199" s="25">
        <f>CZ.V!P47</f>
        <v>528</v>
      </c>
      <c r="Q199" s="36" t="str">
        <f>CZ.V!Q47</f>
        <v>.15-11</v>
      </c>
      <c r="R199" s="31" t="str">
        <f>CZ.V!R47</f>
        <v>keh</v>
      </c>
      <c r="S199" s="25">
        <f>CZ.V!S47</f>
        <v>750</v>
      </c>
      <c r="T199" s="36" t="str">
        <f>CZ.V!T47</f>
        <v>.14-03</v>
      </c>
      <c r="U199" s="31" t="str">
        <f>CZ.V!U47</f>
        <v>b&amp;h</v>
      </c>
    </row>
    <row r="200" spans="1:21">
      <c r="A200" s="143" t="str">
        <f>CZ.V!A48</f>
        <v>Carl Zeiss</v>
      </c>
      <c r="B200" s="11" t="str">
        <f>CZ.V!B48</f>
        <v>Makro-Planar 2.8/60 C CY [1:2]</v>
      </c>
      <c r="C200" s="16">
        <f>CZ.V!C48</f>
        <v>60</v>
      </c>
      <c r="D200" s="18">
        <f>CZ.V!D48</f>
        <v>2.8</v>
      </c>
      <c r="E200" s="31">
        <f>CZ.V!E48</f>
        <v>96</v>
      </c>
      <c r="F200" s="16" t="str">
        <f>CZ.V!F48</f>
        <v>CY</v>
      </c>
      <c r="G200" s="58">
        <f>CZ.V!G48</f>
        <v>0.27</v>
      </c>
      <c r="H200" s="53">
        <f>CZ.V!H48</f>
        <v>0.27</v>
      </c>
      <c r="I200" s="16">
        <f>CZ.V!I48</f>
        <v>51.5</v>
      </c>
      <c r="J200" s="16">
        <f>CZ.V!J48</f>
        <v>64.5</v>
      </c>
      <c r="K200" s="18">
        <f>CZ.V!K48</f>
        <v>55</v>
      </c>
      <c r="L200" s="25">
        <f>CZ.V!L48</f>
        <v>397.85714285714283</v>
      </c>
      <c r="M200" s="36" t="str">
        <f>CZ.V!M48</f>
        <v>.16-05</v>
      </c>
      <c r="N200" s="25">
        <f>CZ.V!N48</f>
        <v>576.69230769230774</v>
      </c>
      <c r="O200" s="73" t="str">
        <f>CZ.V!O48</f>
        <v>.16-03</v>
      </c>
      <c r="P200" s="25">
        <f>CZ.V!P48</f>
        <v>490</v>
      </c>
      <c r="Q200" s="36" t="str">
        <f>CZ.V!Q48</f>
        <v>.16-05</v>
      </c>
      <c r="R200" s="31" t="str">
        <f>CZ.V!R48</f>
        <v>keh</v>
      </c>
      <c r="S200" s="25">
        <f>CZ.V!S48</f>
        <v>700</v>
      </c>
      <c r="T200" s="36" t="str">
        <f>CZ.V!T48</f>
        <v>.12-12</v>
      </c>
      <c r="U200" s="31" t="str">
        <f>CZ.V!U48</f>
        <v>b&amp;h</v>
      </c>
    </row>
    <row r="201" spans="1:21">
      <c r="A201" s="143" t="str">
        <f>LNOP!A23</f>
        <v>Leica</v>
      </c>
      <c r="B201" s="11" t="str">
        <f>LNOP!B23</f>
        <v>Macro-Elmarit-R 60/2.8 3-cam</v>
      </c>
      <c r="C201" s="16">
        <f>LNOP!C23</f>
        <v>60</v>
      </c>
      <c r="D201" s="18">
        <f>LNOP!D23</f>
        <v>2.8</v>
      </c>
      <c r="E201" s="31">
        <f>LNOP!E23</f>
        <v>96</v>
      </c>
      <c r="F201" s="16" t="str">
        <f>LNOP!F23</f>
        <v>LR</v>
      </c>
      <c r="G201" s="58">
        <f>LNOP!G23</f>
        <v>0.27</v>
      </c>
      <c r="H201" s="53">
        <f>LNOP!H23</f>
        <v>0.4</v>
      </c>
      <c r="I201" s="16">
        <f>LNOP!I23</f>
        <v>62.3</v>
      </c>
      <c r="J201" s="16">
        <f>LNOP!J23</f>
        <v>67.5</v>
      </c>
      <c r="K201" s="18">
        <f>LNOP!K23</f>
        <v>55</v>
      </c>
      <c r="L201" s="25">
        <f>LNOP!L23</f>
        <v>431.22222222222223</v>
      </c>
      <c r="M201" s="36" t="str">
        <f>LNOP!M23</f>
        <v>.16-05</v>
      </c>
      <c r="N201" s="25">
        <f>LNOP!N23</f>
        <v>634.4</v>
      </c>
      <c r="O201" s="73" t="str">
        <f>LNOP!O23</f>
        <v>.16-03</v>
      </c>
      <c r="P201" s="25">
        <f>LNOP!P23</f>
        <v>490</v>
      </c>
      <c r="Q201" s="36" t="str">
        <f>LNOP!Q23</f>
        <v>.16-01</v>
      </c>
      <c r="R201" s="31" t="str">
        <f>LNOP!R23</f>
        <v>L-shop</v>
      </c>
      <c r="S201" s="25">
        <f>LNOP!S23</f>
        <v>750</v>
      </c>
      <c r="T201" s="36" t="str">
        <f>LNOP!T23</f>
        <v>.15-11</v>
      </c>
      <c r="U201" s="31" t="str">
        <f>LNOP!U23</f>
        <v>camW</v>
      </c>
    </row>
    <row r="202" spans="1:21">
      <c r="A202" s="143" t="str">
        <f>LNOP!A175</f>
        <v>Tomioka</v>
      </c>
      <c r="B202" s="11" t="str">
        <f>LNOP!B175</f>
        <v>Yashinon macro</v>
      </c>
      <c r="C202" s="16">
        <f>LNOP!C175</f>
        <v>60</v>
      </c>
      <c r="D202" s="18">
        <f>LNOP!D175</f>
        <v>2.8</v>
      </c>
      <c r="E202" s="31">
        <f>LNOP!E175</f>
        <v>96</v>
      </c>
      <c r="F202" s="16" t="str">
        <f>LNOP!F175</f>
        <v>x</v>
      </c>
      <c r="G202" s="58" t="str">
        <f>LNOP!G175</f>
        <v xml:space="preserve"> </v>
      </c>
      <c r="H202" s="53" t="str">
        <f>LNOP!H175</f>
        <v xml:space="preserve"> </v>
      </c>
      <c r="I202" s="16" t="str">
        <f>LNOP!I175</f>
        <v xml:space="preserve"> </v>
      </c>
      <c r="J202" s="16" t="str">
        <f>LNOP!J175</f>
        <v xml:space="preserve"> </v>
      </c>
      <c r="K202" s="18" t="str">
        <f>LNOP!K175</f>
        <v xml:space="preserve"> </v>
      </c>
      <c r="L202" s="25">
        <f>LNOP!L175</f>
        <v>223.16666666666666</v>
      </c>
      <c r="M202" s="36" t="str">
        <f>LNOP!M175</f>
        <v>.16-05</v>
      </c>
      <c r="N202" s="25">
        <f>LNOP!N175</f>
        <v>334.4</v>
      </c>
      <c r="O202" s="73" t="str">
        <f>LNOP!O175</f>
        <v>.14-11</v>
      </c>
      <c r="P202" s="25" t="str">
        <f>LNOP!P175</f>
        <v xml:space="preserve"> </v>
      </c>
      <c r="Q202" s="36" t="str">
        <f>LNOP!Q175</f>
        <v xml:space="preserve"> </v>
      </c>
      <c r="R202" s="31" t="str">
        <f>LNOP!R175</f>
        <v xml:space="preserve"> </v>
      </c>
      <c r="S202" s="25" t="str">
        <f>LNOP!S175</f>
        <v xml:space="preserve"> </v>
      </c>
      <c r="T202" s="36" t="str">
        <f>LNOP!T175</f>
        <v xml:space="preserve"> </v>
      </c>
      <c r="U202" s="31" t="str">
        <f>LNOP!U175</f>
        <v xml:space="preserve"> </v>
      </c>
    </row>
    <row r="203" spans="1:21">
      <c r="A203" s="143" t="str">
        <f>LNOP!A184</f>
        <v>Mamiya</v>
      </c>
      <c r="B203" s="11" t="str">
        <f>LNOP!B184</f>
        <v>macro Sekor 60/2.8 [1:1]</v>
      </c>
      <c r="C203" s="16">
        <f>LNOP!C184</f>
        <v>60</v>
      </c>
      <c r="D203" s="18">
        <f>LNOP!D184</f>
        <v>2.8</v>
      </c>
      <c r="E203" s="31">
        <f>LNOP!E184</f>
        <v>96</v>
      </c>
      <c r="F203" s="16" t="str">
        <f>LNOP!F184</f>
        <v>M42</v>
      </c>
      <c r="G203" s="58">
        <f>LNOP!G184</f>
        <v>0.23499999999999999</v>
      </c>
      <c r="H203" s="53">
        <f>LNOP!H184</f>
        <v>0.39500000000000002</v>
      </c>
      <c r="I203" s="16">
        <f>LNOP!I184</f>
        <v>66.349999999999994</v>
      </c>
      <c r="J203" s="16">
        <f>LNOP!J184</f>
        <v>66.400000000000006</v>
      </c>
      <c r="K203" s="18">
        <f>LNOP!K184</f>
        <v>58</v>
      </c>
      <c r="L203" s="25">
        <f>LNOP!L184</f>
        <v>190.3</v>
      </c>
      <c r="M203" s="36" t="str">
        <f>LNOP!M184</f>
        <v>.16-05</v>
      </c>
      <c r="N203" s="25">
        <f>LNOP!N184</f>
        <v>263</v>
      </c>
      <c r="O203" s="73" t="str">
        <f>LNOP!O184</f>
        <v>.14-06</v>
      </c>
      <c r="P203" s="25">
        <f>LNOP!P184</f>
        <v>204</v>
      </c>
      <c r="Q203" s="36" t="str">
        <f>LNOP!Q184</f>
        <v>.13-04</v>
      </c>
      <c r="R203" s="31" t="str">
        <f>LNOP!R184</f>
        <v>ado</v>
      </c>
      <c r="S203" s="25" t="str">
        <f>LNOP!S184</f>
        <v xml:space="preserve"> </v>
      </c>
      <c r="T203" s="36" t="str">
        <f>LNOP!T184</f>
        <v xml:space="preserve"> </v>
      </c>
      <c r="U203" s="31" t="str">
        <f>LNOP!U184</f>
        <v xml:space="preserve"> </v>
      </c>
    </row>
    <row r="204" spans="1:21">
      <c r="A204" s="144" t="str">
        <f>'645'!A32</f>
        <v>Sch-K</v>
      </c>
      <c r="B204" s="22" t="str">
        <f>'645'!B32</f>
        <v>Curtagon MF 60/3.5</v>
      </c>
      <c r="C204" s="27">
        <f>'645'!C32</f>
        <v>60</v>
      </c>
      <c r="D204" s="41" t="str">
        <f>'645'!D32</f>
        <v>3.5</v>
      </c>
      <c r="E204" s="33">
        <f>'645'!E32</f>
        <v>96</v>
      </c>
      <c r="F204" s="27" t="str">
        <f>'645'!F32</f>
        <v>P6</v>
      </c>
      <c r="G204" s="55">
        <f>'645'!G32</f>
        <v>0.6</v>
      </c>
      <c r="H204" s="56">
        <f>'645'!H32</f>
        <v>0.56999999999999995</v>
      </c>
      <c r="I204" s="27">
        <f>'645'!I32</f>
        <v>84</v>
      </c>
      <c r="J204" s="27">
        <f>'645'!J32</f>
        <v>81</v>
      </c>
      <c r="K204" s="41">
        <f>'645'!K32</f>
        <v>67</v>
      </c>
      <c r="L204" s="26">
        <f>'645'!L32</f>
        <v>639.125</v>
      </c>
      <c r="M204" s="24" t="str">
        <f>'645'!M32</f>
        <v>.15-07</v>
      </c>
      <c r="N204" s="26">
        <f>'645'!N32</f>
        <v>998.66666666666663</v>
      </c>
      <c r="O204" s="124" t="str">
        <f>'645'!O32</f>
        <v>.16-01</v>
      </c>
      <c r="P204" s="26" t="str">
        <f>'645'!P32</f>
        <v xml:space="preserve"> </v>
      </c>
      <c r="Q204" s="24" t="str">
        <f>'645'!Q32</f>
        <v xml:space="preserve"> </v>
      </c>
      <c r="R204" s="33" t="str">
        <f>'645'!R32</f>
        <v xml:space="preserve"> </v>
      </c>
      <c r="S204" s="26" t="str">
        <f>'645'!S32</f>
        <v xml:space="preserve"> </v>
      </c>
      <c r="T204" s="24" t="str">
        <f>'645'!T32</f>
        <v xml:space="preserve"> </v>
      </c>
      <c r="U204" s="33" t="str">
        <f>'645'!U32</f>
        <v xml:space="preserve"> </v>
      </c>
    </row>
    <row r="205" spans="1:21">
      <c r="A205" s="144" t="str">
        <f>EFp!A34</f>
        <v>Canon</v>
      </c>
      <c r="B205" s="22" t="str">
        <f>EFp!B34</f>
        <v>MP-E 65/2.8 Macro Photo</v>
      </c>
      <c r="C205" s="27">
        <f>EFp!C34</f>
        <v>65</v>
      </c>
      <c r="D205" s="41">
        <f>EFp!D34</f>
        <v>2.8</v>
      </c>
      <c r="E205" s="33">
        <f>EFp!E34</f>
        <v>104</v>
      </c>
      <c r="F205" s="27" t="str">
        <f>EFp!F34</f>
        <v>Efm</v>
      </c>
      <c r="G205" s="55">
        <f>EFp!G34</f>
        <v>0.24</v>
      </c>
      <c r="H205" s="56">
        <f>EFp!H34</f>
        <v>0.73</v>
      </c>
      <c r="I205" s="27">
        <f>EFp!I34</f>
        <v>98</v>
      </c>
      <c r="J205" s="27">
        <f>EFp!J34</f>
        <v>61</v>
      </c>
      <c r="K205" s="41">
        <f>EFp!K34</f>
        <v>58</v>
      </c>
      <c r="L205" s="26">
        <f>EFp!L34</f>
        <v>653.81818181818187</v>
      </c>
      <c r="M205" s="24" t="str">
        <f>EFp!M34</f>
        <v>.16-01</v>
      </c>
      <c r="N205" s="26">
        <f>EFp!N34</f>
        <v>793.25</v>
      </c>
      <c r="O205" s="124" t="str">
        <f>EFp!O34</f>
        <v>.16-05</v>
      </c>
      <c r="P205" s="26">
        <f>EFp!P34</f>
        <v>684</v>
      </c>
      <c r="Q205" s="24" t="str">
        <f>EFp!Q34</f>
        <v>.15-11</v>
      </c>
      <c r="R205" s="33" t="str">
        <f>EFp!R34</f>
        <v>henrys</v>
      </c>
      <c r="S205" s="26">
        <f>EFp!S34</f>
        <v>850</v>
      </c>
      <c r="T205" s="24" t="str">
        <f>EFp!T34</f>
        <v>.15-04</v>
      </c>
      <c r="U205" s="33" t="str">
        <f>EFp!U34</f>
        <v>keh</v>
      </c>
    </row>
    <row r="206" spans="1:21">
      <c r="A206" s="144" t="str">
        <f>STT!A17</f>
        <v>Sigma</v>
      </c>
      <c r="B206" s="22" t="str">
        <f>STT!B17</f>
        <v>EX 70/2.8 DG macro</v>
      </c>
      <c r="C206" s="27">
        <f>STT!C17</f>
        <v>70</v>
      </c>
      <c r="D206" s="41">
        <f>STT!D17</f>
        <v>2.8</v>
      </c>
      <c r="E206" s="33">
        <f>STT!E17</f>
        <v>112</v>
      </c>
      <c r="F206" s="27" t="str">
        <f>STT!F17</f>
        <v>EF</v>
      </c>
      <c r="G206" s="55">
        <f>STT!G17</f>
        <v>0.25700000000000001</v>
      </c>
      <c r="H206" s="56">
        <f>STT!H17</f>
        <v>0.52500000000000002</v>
      </c>
      <c r="I206" s="27">
        <f>STT!I17</f>
        <v>95</v>
      </c>
      <c r="J206" s="27">
        <f>STT!J17</f>
        <v>76</v>
      </c>
      <c r="K206" s="41">
        <f>STT!K17</f>
        <v>62</v>
      </c>
      <c r="L206" s="26">
        <f>STT!L17</f>
        <v>193.5</v>
      </c>
      <c r="M206" s="24" t="str">
        <f>STT!M17</f>
        <v>.15-08</v>
      </c>
      <c r="N206" s="26">
        <f>STT!N17</f>
        <v>337.2</v>
      </c>
      <c r="O206" s="124" t="str">
        <f>STT!O17</f>
        <v>.14-08</v>
      </c>
      <c r="P206" s="26">
        <f>STT!P17</f>
        <v>300</v>
      </c>
      <c r="Q206" s="24" t="str">
        <f>STT!Q17</f>
        <v>.14-01</v>
      </c>
      <c r="R206" s="33" t="str">
        <f>STT!R17</f>
        <v>keh</v>
      </c>
      <c r="S206" s="26">
        <f>STT!S17</f>
        <v>370</v>
      </c>
      <c r="T206" s="24" t="str">
        <f>STT!T17</f>
        <v>.14-08</v>
      </c>
      <c r="U206" s="33" t="str">
        <f>STT!U17</f>
        <v>LA</v>
      </c>
    </row>
    <row r="207" spans="1:21">
      <c r="A207" s="143" t="str">
        <f>CZ.V!A93</f>
        <v>Zeiss Jena</v>
      </c>
      <c r="B207" s="11" t="str">
        <f>CZ.V!B93</f>
        <v>Biotar 75/1.5</v>
      </c>
      <c r="C207" s="16">
        <f>CZ.V!C93</f>
        <v>75</v>
      </c>
      <c r="D207" s="18">
        <f>CZ.V!D93</f>
        <v>1.5</v>
      </c>
      <c r="E207" s="31">
        <f>CZ.V!E93</f>
        <v>120</v>
      </c>
      <c r="F207" s="16" t="str">
        <f>CZ.V!F93</f>
        <v>M42</v>
      </c>
      <c r="G207" s="58">
        <f>CZ.V!G93</f>
        <v>0.82</v>
      </c>
      <c r="H207" s="53">
        <f>CZ.V!H93</f>
        <v>0.5</v>
      </c>
      <c r="I207" s="16">
        <f>CZ.V!I93</f>
        <v>76</v>
      </c>
      <c r="J207" s="16" t="str">
        <f>CZ.V!J93</f>
        <v xml:space="preserve"> </v>
      </c>
      <c r="K207" s="18">
        <f>CZ.V!K93</f>
        <v>55</v>
      </c>
      <c r="L207" s="25">
        <f>CZ.V!L93</f>
        <v>866.2</v>
      </c>
      <c r="M207" s="36" t="str">
        <f>CZ.V!M93</f>
        <v>.16-05</v>
      </c>
      <c r="N207" s="25">
        <f>CZ.V!N93</f>
        <v>966.33333333333337</v>
      </c>
      <c r="O207" s="73" t="str">
        <f>CZ.V!O93</f>
        <v>.16-04</v>
      </c>
      <c r="P207" s="25" t="str">
        <f>CZ.V!P93</f>
        <v xml:space="preserve"> </v>
      </c>
      <c r="Q207" s="36" t="str">
        <f>CZ.V!Q93</f>
        <v xml:space="preserve"> </v>
      </c>
      <c r="R207" s="31" t="str">
        <f>CZ.V!R93</f>
        <v xml:space="preserve"> </v>
      </c>
      <c r="S207" s="25" t="str">
        <f>CZ.V!S93</f>
        <v xml:space="preserve"> </v>
      </c>
      <c r="T207" s="36" t="str">
        <f>CZ.V!T93</f>
        <v xml:space="preserve"> </v>
      </c>
      <c r="U207" s="31" t="str">
        <f>CZ.V!U93</f>
        <v xml:space="preserve"> </v>
      </c>
    </row>
    <row r="208" spans="1:21">
      <c r="A208" s="143" t="str">
        <f>CZ.V!A118</f>
        <v>Meyer</v>
      </c>
      <c r="B208" s="11" t="str">
        <f>CZ.V!B118</f>
        <v>Primoplan 75/1.9 V (MC)</v>
      </c>
      <c r="C208" s="16">
        <f>CZ.V!C118</f>
        <v>75</v>
      </c>
      <c r="D208" s="18">
        <f>CZ.V!D118</f>
        <v>1.9</v>
      </c>
      <c r="E208" s="31">
        <f>CZ.V!E118</f>
        <v>120</v>
      </c>
      <c r="F208" s="16" t="str">
        <f>CZ.V!F118</f>
        <v>M42</v>
      </c>
      <c r="G208" s="58">
        <f>CZ.V!G118</f>
        <v>1</v>
      </c>
      <c r="H208" s="53">
        <f>CZ.V!H118</f>
        <v>0.249</v>
      </c>
      <c r="I208" s="16">
        <f>CZ.V!I118</f>
        <v>65</v>
      </c>
      <c r="J208" s="16">
        <f>CZ.V!J118</f>
        <v>55</v>
      </c>
      <c r="K208" s="18" t="str">
        <f>CZ.V!K118</f>
        <v xml:space="preserve"> </v>
      </c>
      <c r="L208" s="25">
        <f>CZ.V!L118</f>
        <v>1074</v>
      </c>
      <c r="M208" s="36" t="str">
        <f>CZ.V!M118</f>
        <v>.16-03</v>
      </c>
      <c r="N208" s="25">
        <f>CZ.V!N118</f>
        <v>1845</v>
      </c>
      <c r="O208" s="73" t="str">
        <f>CZ.V!O118</f>
        <v>.16-05</v>
      </c>
      <c r="P208" s="25" t="str">
        <f>CZ.V!P118</f>
        <v xml:space="preserve"> </v>
      </c>
      <c r="Q208" s="36" t="str">
        <f>CZ.V!Q118</f>
        <v xml:space="preserve"> </v>
      </c>
      <c r="R208" s="31" t="str">
        <f>CZ.V!R118</f>
        <v xml:space="preserve"> </v>
      </c>
      <c r="S208" s="25" t="str">
        <f>CZ.V!S118</f>
        <v xml:space="preserve"> </v>
      </c>
      <c r="T208" s="36" t="str">
        <f>CZ.V!T118</f>
        <v xml:space="preserve"> </v>
      </c>
      <c r="U208" s="31" t="str">
        <f>CZ.V!U118</f>
        <v xml:space="preserve"> </v>
      </c>
    </row>
    <row r="209" spans="1:21">
      <c r="A209" s="143" t="str">
        <f>CZ.V!A106</f>
        <v>Voigtlander</v>
      </c>
      <c r="B209" s="11" t="str">
        <f>CZ.V!B106</f>
        <v xml:space="preserve">75/2.5 Color Heliar SL </v>
      </c>
      <c r="C209" s="16">
        <f>CZ.V!C106</f>
        <v>75</v>
      </c>
      <c r="D209" s="18">
        <f>CZ.V!D106</f>
        <v>2.5</v>
      </c>
      <c r="E209" s="31">
        <f>CZ.V!E106</f>
        <v>120</v>
      </c>
      <c r="F209" s="16" t="str">
        <f>CZ.V!F106</f>
        <v>x</v>
      </c>
      <c r="G209" s="58">
        <f>CZ.V!G106</f>
        <v>0.7</v>
      </c>
      <c r="H209" s="53">
        <f>CZ.V!H106</f>
        <v>0.25</v>
      </c>
      <c r="I209" s="16">
        <f>CZ.V!I106</f>
        <v>40.200000000000003</v>
      </c>
      <c r="J209" s="16">
        <f>CZ.V!J106</f>
        <v>63.5</v>
      </c>
      <c r="K209" s="18">
        <f>CZ.V!K106</f>
        <v>49</v>
      </c>
      <c r="L209" s="25">
        <f>CZ.V!L106</f>
        <v>372.25</v>
      </c>
      <c r="M209" s="36" t="str">
        <f>CZ.V!M106</f>
        <v>.16-03</v>
      </c>
      <c r="N209" s="25">
        <f>CZ.V!N106</f>
        <v>457.33333333333331</v>
      </c>
      <c r="O209" s="73" t="str">
        <f>CZ.V!O106</f>
        <v>.16-05</v>
      </c>
      <c r="P209" s="25" t="str">
        <f>CZ.V!P106</f>
        <v xml:space="preserve"> </v>
      </c>
      <c r="Q209" s="36" t="str">
        <f>CZ.V!Q106</f>
        <v xml:space="preserve"> </v>
      </c>
      <c r="R209" s="31" t="str">
        <f>CZ.V!R106</f>
        <v xml:space="preserve"> </v>
      </c>
      <c r="S209" s="25" t="str">
        <f>CZ.V!S106</f>
        <v xml:space="preserve"> </v>
      </c>
      <c r="T209" s="36" t="str">
        <f>CZ.V!T106</f>
        <v xml:space="preserve"> </v>
      </c>
      <c r="U209" s="31" t="str">
        <f>CZ.V!U106</f>
        <v xml:space="preserve"> </v>
      </c>
    </row>
    <row r="210" spans="1:21">
      <c r="A210" s="143" t="str">
        <f>'645'!A42</f>
        <v>Pentax</v>
      </c>
      <c r="B210" s="11" t="str">
        <f>'645'!B42</f>
        <v>SMC Pentax-A 645 75/2.8</v>
      </c>
      <c r="C210" s="16">
        <f>'645'!C42</f>
        <v>75</v>
      </c>
      <c r="D210" s="18">
        <f>'645'!D42</f>
        <v>2.8</v>
      </c>
      <c r="E210" s="31">
        <f>'645'!E42</f>
        <v>56</v>
      </c>
      <c r="F210" s="16" t="str">
        <f>'645'!F42</f>
        <v>P645</v>
      </c>
      <c r="G210" s="58">
        <f>'645'!G42</f>
        <v>0.6</v>
      </c>
      <c r="H210" s="53">
        <f>'645'!H42</f>
        <v>0.24</v>
      </c>
      <c r="I210" s="16">
        <f>'645'!I42</f>
        <v>37.5</v>
      </c>
      <c r="J210" s="16">
        <f>'645'!J42</f>
        <v>74</v>
      </c>
      <c r="K210" s="18">
        <f>'645'!K42</f>
        <v>58</v>
      </c>
      <c r="L210" s="25">
        <f>'645'!L42</f>
        <v>150</v>
      </c>
      <c r="M210" s="36" t="str">
        <f>'645'!M42</f>
        <v>.16-05</v>
      </c>
      <c r="N210" s="25">
        <f>'645'!N42</f>
        <v>282.71428571428572</v>
      </c>
      <c r="O210" s="73" t="str">
        <f>'645'!O42</f>
        <v>.16-05</v>
      </c>
      <c r="P210" s="25">
        <f>'645'!P42</f>
        <v>113.24</v>
      </c>
      <c r="Q210" s="36" t="str">
        <f>'645'!Q42</f>
        <v>.15-04</v>
      </c>
      <c r="R210" s="31" t="str">
        <f>'645'!R42</f>
        <v>ctc</v>
      </c>
      <c r="S210" s="25">
        <f>'645'!S42</f>
        <v>315</v>
      </c>
      <c r="T210" s="36" t="str">
        <f>'645'!T42</f>
        <v>.15-11</v>
      </c>
      <c r="U210" s="31" t="str">
        <f>'645'!U42</f>
        <v>jack's</v>
      </c>
    </row>
    <row r="211" spans="1:21">
      <c r="A211" s="144" t="str">
        <f>'645'!A43</f>
        <v>Pentax</v>
      </c>
      <c r="B211" s="22" t="str">
        <f>'645'!B43</f>
        <v>SMC Pentax-FA 645 75/2.8</v>
      </c>
      <c r="C211" s="27">
        <f>'645'!C43</f>
        <v>75</v>
      </c>
      <c r="D211" s="41">
        <f>'645'!D43</f>
        <v>2.8</v>
      </c>
      <c r="E211" s="33">
        <f>'645'!E43</f>
        <v>56</v>
      </c>
      <c r="F211" s="27" t="str">
        <f>'645'!F43</f>
        <v>P645</v>
      </c>
      <c r="G211" s="55">
        <f>'645'!G43</f>
        <v>0.6</v>
      </c>
      <c r="H211" s="56">
        <f>'645'!H43</f>
        <v>0.215</v>
      </c>
      <c r="I211" s="27">
        <f>'645'!I43</f>
        <v>37.5</v>
      </c>
      <c r="J211" s="27">
        <f>'645'!J43</f>
        <v>74.5</v>
      </c>
      <c r="K211" s="41">
        <f>'645'!K43</f>
        <v>58</v>
      </c>
      <c r="L211" s="26">
        <f>'645'!L43</f>
        <v>209.5</v>
      </c>
      <c r="M211" s="24" t="str">
        <f>'645'!M43</f>
        <v>.16-03</v>
      </c>
      <c r="N211" s="26">
        <f>'645'!N43</f>
        <v>377.9</v>
      </c>
      <c r="O211" s="124" t="str">
        <f>'645'!O43</f>
        <v>.16-05</v>
      </c>
      <c r="P211" s="26" t="str">
        <f>'645'!P43</f>
        <v xml:space="preserve"> </v>
      </c>
      <c r="Q211" s="24" t="str">
        <f>'645'!Q43</f>
        <v xml:space="preserve"> </v>
      </c>
      <c r="R211" s="33" t="str">
        <f>'645'!R43</f>
        <v xml:space="preserve"> </v>
      </c>
      <c r="S211" s="26" t="str">
        <f>'645'!S43</f>
        <v xml:space="preserve"> </v>
      </c>
      <c r="T211" s="24" t="str">
        <f>'645'!T43</f>
        <v xml:space="preserve"> </v>
      </c>
      <c r="U211" s="33" t="str">
        <f>'645'!U43</f>
        <v xml:space="preserve"> </v>
      </c>
    </row>
    <row r="212" spans="1:21">
      <c r="A212" s="143" t="str">
        <f>LNOP!A24</f>
        <v>Leica</v>
      </c>
      <c r="B212" s="11" t="str">
        <f>LNOP!B24</f>
        <v xml:space="preserve">Summilux-R 80/1.4 </v>
      </c>
      <c r="C212" s="16">
        <f>LNOP!C24</f>
        <v>80</v>
      </c>
      <c r="D212" s="18">
        <f>LNOP!D24</f>
        <v>1.4</v>
      </c>
      <c r="E212" s="31">
        <f>LNOP!E24</f>
        <v>128</v>
      </c>
      <c r="F212" s="16" t="str">
        <f>LNOP!F24</f>
        <v>LR</v>
      </c>
      <c r="G212" s="58">
        <f>LNOP!G24</f>
        <v>0.8</v>
      </c>
      <c r="H212" s="53">
        <f>LNOP!H24</f>
        <v>0.7</v>
      </c>
      <c r="I212" s="16">
        <f>LNOP!I24</f>
        <v>69</v>
      </c>
      <c r="J212" s="16">
        <f>LNOP!J24</f>
        <v>75</v>
      </c>
      <c r="K212" s="18">
        <f>LNOP!K24</f>
        <v>67</v>
      </c>
      <c r="L212" s="25">
        <f>LNOP!L24</f>
        <v>1664</v>
      </c>
      <c r="M212" s="36" t="str">
        <f>LNOP!M24</f>
        <v>.16-04</v>
      </c>
      <c r="N212" s="25">
        <f>LNOP!N24</f>
        <v>2129.090909090909</v>
      </c>
      <c r="O212" s="73" t="str">
        <f>LNOP!O24</f>
        <v>.16-05</v>
      </c>
      <c r="P212" s="25">
        <f>LNOP!P24</f>
        <v>2572</v>
      </c>
      <c r="Q212" s="36" t="str">
        <f>LNOP!Q24</f>
        <v>.15-04</v>
      </c>
      <c r="R212" s="31" t="str">
        <f>LNOP!R24</f>
        <v>keh</v>
      </c>
      <c r="S212" s="25">
        <f>LNOP!S24</f>
        <v>1845</v>
      </c>
      <c r="T212" s="36" t="str">
        <f>LNOP!T24</f>
        <v>.14-06</v>
      </c>
      <c r="U212" s="31" t="str">
        <f>LNOP!U24</f>
        <v>igor</v>
      </c>
    </row>
    <row r="213" spans="1:21">
      <c r="A213" s="143" t="str">
        <f>CZ.V!A94</f>
        <v>Zeiss Jena</v>
      </c>
      <c r="B213" s="11" t="str">
        <f>CZ.V!B94</f>
        <v>Pancolar MC 80/1.8</v>
      </c>
      <c r="C213" s="16">
        <f>CZ.V!C94</f>
        <v>80</v>
      </c>
      <c r="D213" s="18">
        <f>CZ.V!D94</f>
        <v>1.8</v>
      </c>
      <c r="E213" s="31">
        <f>CZ.V!E94</f>
        <v>128</v>
      </c>
      <c r="F213" s="16" t="str">
        <f>CZ.V!F94</f>
        <v>M42</v>
      </c>
      <c r="G213" s="58">
        <f>CZ.V!G94</f>
        <v>0.35</v>
      </c>
      <c r="H213" s="53">
        <f>CZ.V!H94</f>
        <v>0.308</v>
      </c>
      <c r="I213" s="16">
        <f>CZ.V!I94</f>
        <v>55</v>
      </c>
      <c r="J213" s="16">
        <f>CZ.V!J94</f>
        <v>60</v>
      </c>
      <c r="K213" s="18">
        <f>CZ.V!K94</f>
        <v>58</v>
      </c>
      <c r="L213" s="25">
        <f>CZ.V!L94</f>
        <v>390.5</v>
      </c>
      <c r="M213" s="36" t="str">
        <f>CZ.V!M94</f>
        <v>.16-01</v>
      </c>
      <c r="N213" s="25">
        <f>CZ.V!N94</f>
        <v>490</v>
      </c>
      <c r="O213" s="73" t="str">
        <f>CZ.V!O94</f>
        <v>.16-05</v>
      </c>
      <c r="P213" s="25" t="str">
        <f>CZ.V!P94</f>
        <v xml:space="preserve"> </v>
      </c>
      <c r="Q213" s="36" t="str">
        <f>CZ.V!Q94</f>
        <v xml:space="preserve"> </v>
      </c>
      <c r="R213" s="31" t="str">
        <f>CZ.V!R94</f>
        <v xml:space="preserve"> </v>
      </c>
      <c r="S213" s="25" t="str">
        <f>CZ.V!S94</f>
        <v xml:space="preserve"> </v>
      </c>
      <c r="T213" s="36" t="str">
        <f>CZ.V!T94</f>
        <v xml:space="preserve"> </v>
      </c>
      <c r="U213" s="31" t="str">
        <f>CZ.V!U94</f>
        <v xml:space="preserve"> </v>
      </c>
    </row>
    <row r="214" spans="1:21">
      <c r="A214" s="143" t="str">
        <f>CZ.V!A84</f>
        <v>Carl Zeiss</v>
      </c>
      <c r="B214" s="11" t="str">
        <f>CZ.V!B84</f>
        <v>Biometar 80/2.8 M42</v>
      </c>
      <c r="C214" s="16">
        <f>CZ.V!C84</f>
        <v>80</v>
      </c>
      <c r="D214" s="18">
        <f>CZ.V!D84</f>
        <v>2.8</v>
      </c>
      <c r="E214" s="31">
        <f>CZ.V!E84</f>
        <v>128</v>
      </c>
      <c r="F214" s="16" t="str">
        <f>CZ.V!F84</f>
        <v>M42</v>
      </c>
      <c r="G214" s="58">
        <f>CZ.V!G84</f>
        <v>0.8</v>
      </c>
      <c r="H214" s="53">
        <f>CZ.V!H84</f>
        <v>0.32</v>
      </c>
      <c r="I214" s="16">
        <f>CZ.V!I84</f>
        <v>63</v>
      </c>
      <c r="J214" s="16">
        <f>CZ.V!J84</f>
        <v>0</v>
      </c>
      <c r="K214" s="18">
        <f>CZ.V!K84</f>
        <v>58</v>
      </c>
      <c r="L214" s="25">
        <f>CZ.V!L84</f>
        <v>205.5</v>
      </c>
      <c r="M214" s="36" t="str">
        <f>CZ.V!M84</f>
        <v>.16-04</v>
      </c>
      <c r="N214" s="25">
        <f>CZ.V!N84</f>
        <v>356.33333333333331</v>
      </c>
      <c r="O214" s="73" t="str">
        <f>CZ.V!O84</f>
        <v>.16-04</v>
      </c>
      <c r="P214" s="25">
        <f>CZ.V!P84</f>
        <v>0</v>
      </c>
      <c r="Q214" s="36">
        <f>CZ.V!Q84</f>
        <v>0</v>
      </c>
      <c r="R214" s="31">
        <f>CZ.V!R84</f>
        <v>0</v>
      </c>
      <c r="S214" s="25">
        <f>CZ.V!S84</f>
        <v>0</v>
      </c>
      <c r="T214" s="36">
        <f>CZ.V!T84</f>
        <v>0</v>
      </c>
      <c r="U214" s="31">
        <f>CZ.V!U84</f>
        <v>0</v>
      </c>
    </row>
    <row r="215" spans="1:21">
      <c r="A215" s="143" t="str">
        <f>'645'!A12</f>
        <v>Mamiya</v>
      </c>
      <c r="B215" s="11" t="str">
        <f>'645'!B12</f>
        <v xml:space="preserve">Mamiya-Sekor C 80/1.9 </v>
      </c>
      <c r="C215" s="16">
        <f>'645'!C12</f>
        <v>80</v>
      </c>
      <c r="D215" s="18" t="str">
        <f>'645'!D12</f>
        <v>1.9</v>
      </c>
      <c r="E215" s="31">
        <f>'645'!E12</f>
        <v>128</v>
      </c>
      <c r="F215" s="16" t="str">
        <f>'645'!F12</f>
        <v>M645</v>
      </c>
      <c r="G215" s="58">
        <f>'645'!G12</f>
        <v>0.7</v>
      </c>
      <c r="H215" s="53">
        <f>'645'!H12</f>
        <v>0.42</v>
      </c>
      <c r="I215" s="16">
        <f>'645'!I12</f>
        <v>59</v>
      </c>
      <c r="J215" s="16">
        <f>'645'!J12</f>
        <v>75.5</v>
      </c>
      <c r="K215" s="18">
        <f>'645'!K12</f>
        <v>67</v>
      </c>
      <c r="L215" s="25">
        <f>'645'!L12</f>
        <v>209.45454545454547</v>
      </c>
      <c r="M215" s="36" t="str">
        <f>'645'!M12</f>
        <v>.16-04</v>
      </c>
      <c r="N215" s="25">
        <f>'645'!N12</f>
        <v>285.10000000000002</v>
      </c>
      <c r="O215" s="73" t="str">
        <f>'645'!O12</f>
        <v>.16-05</v>
      </c>
      <c r="P215" s="25">
        <f>'645'!P12</f>
        <v>225</v>
      </c>
      <c r="Q215" s="36" t="str">
        <f>'645'!Q12</f>
        <v>.16-01</v>
      </c>
      <c r="R215" s="31" t="str">
        <f>'645'!R12</f>
        <v>igor</v>
      </c>
      <c r="S215" s="25" t="str">
        <f>'645'!S12</f>
        <v xml:space="preserve"> </v>
      </c>
      <c r="T215" s="36" t="str">
        <f>'645'!T12</f>
        <v xml:space="preserve"> </v>
      </c>
      <c r="U215" s="31" t="str">
        <f>'645'!U12</f>
        <v xml:space="preserve"> </v>
      </c>
    </row>
    <row r="216" spans="1:21">
      <c r="A216" s="143" t="str">
        <f>'645'!A13</f>
        <v>Mamiya</v>
      </c>
      <c r="B216" s="11" t="str">
        <f>'645'!B13</f>
        <v>Mamiya-Sekor C 80/1.9 N</v>
      </c>
      <c r="C216" s="16">
        <f>'645'!C13</f>
        <v>80</v>
      </c>
      <c r="D216" s="18" t="str">
        <f>'645'!D13</f>
        <v>1.9</v>
      </c>
      <c r="E216" s="31">
        <f>'645'!E13</f>
        <v>128</v>
      </c>
      <c r="F216" s="16" t="str">
        <f>'645'!F13</f>
        <v>M645</v>
      </c>
      <c r="G216" s="58" t="str">
        <f>'645'!G13</f>
        <v xml:space="preserve"> </v>
      </c>
      <c r="H216" s="53" t="str">
        <f>'645'!H13</f>
        <v xml:space="preserve"> </v>
      </c>
      <c r="I216" s="16" t="str">
        <f>'645'!I13</f>
        <v xml:space="preserve"> </v>
      </c>
      <c r="J216" s="16" t="str">
        <f>'645'!J13</f>
        <v xml:space="preserve"> </v>
      </c>
      <c r="K216" s="18" t="str">
        <f>'645'!K13</f>
        <v xml:space="preserve"> </v>
      </c>
      <c r="L216" s="25">
        <f>'645'!L13</f>
        <v>191.11111111111111</v>
      </c>
      <c r="M216" s="36" t="str">
        <f>'645'!M13</f>
        <v>.16-03</v>
      </c>
      <c r="N216" s="25">
        <f>'645'!N13</f>
        <v>297.57142857142856</v>
      </c>
      <c r="O216" s="73" t="str">
        <f>'645'!O13</f>
        <v>.16-05</v>
      </c>
      <c r="P216" s="25">
        <f>'645'!P13</f>
        <v>450</v>
      </c>
      <c r="Q216" s="36" t="str">
        <f>'645'!Q13</f>
        <v>.16-01</v>
      </c>
      <c r="R216" s="31" t="str">
        <f>'645'!R13</f>
        <v>keh</v>
      </c>
      <c r="S216" s="25" t="str">
        <f>'645'!S13</f>
        <v xml:space="preserve"> </v>
      </c>
      <c r="T216" s="36" t="str">
        <f>'645'!T13</f>
        <v xml:space="preserve"> </v>
      </c>
      <c r="U216" s="31" t="str">
        <f>'645'!U13</f>
        <v xml:space="preserve"> </v>
      </c>
    </row>
    <row r="217" spans="1:21">
      <c r="A217" s="143" t="str">
        <f>'645'!A14</f>
        <v>Mamiya</v>
      </c>
      <c r="B217" s="11" t="str">
        <f>'645'!B14</f>
        <v>Mamiya-Sekor C 80/2.8 N</v>
      </c>
      <c r="C217" s="16">
        <f>'645'!C14</f>
        <v>80</v>
      </c>
      <c r="D217" s="18" t="str">
        <f>'645'!D14</f>
        <v>2.8</v>
      </c>
      <c r="E217" s="31">
        <f>'645'!E14</f>
        <v>128</v>
      </c>
      <c r="F217" s="16" t="str">
        <f>'645'!F14</f>
        <v>M645</v>
      </c>
      <c r="G217" s="58">
        <f>'645'!G14</f>
        <v>0.7</v>
      </c>
      <c r="H217" s="53">
        <f>'645'!H14</f>
        <v>0.22</v>
      </c>
      <c r="I217" s="16">
        <f>'645'!I14</f>
        <v>43</v>
      </c>
      <c r="J217" s="16">
        <f>'645'!J14</f>
        <v>70</v>
      </c>
      <c r="K217" s="18">
        <f>'645'!K14</f>
        <v>58</v>
      </c>
      <c r="L217" s="25">
        <f>'645'!L14</f>
        <v>97.933333333333337</v>
      </c>
      <c r="M217" s="36" t="str">
        <f>'645'!M14</f>
        <v>.16-04</v>
      </c>
      <c r="N217" s="25">
        <f>'645'!N14</f>
        <v>148.85714285714286</v>
      </c>
      <c r="O217" s="73" t="str">
        <f>'645'!O14</f>
        <v>.16-01</v>
      </c>
      <c r="P217" s="25">
        <f>'645'!P14</f>
        <v>90</v>
      </c>
      <c r="Q217" s="36" t="str">
        <f>'645'!Q14</f>
        <v>.16-01</v>
      </c>
      <c r="R217" s="31" t="str">
        <f>'645'!R14</f>
        <v>keh</v>
      </c>
      <c r="S217" s="25">
        <f>'645'!S14</f>
        <v>120</v>
      </c>
      <c r="T217" s="36" t="str">
        <f>'645'!T14</f>
        <v>.15-04</v>
      </c>
      <c r="U217" s="31" t="str">
        <f>'645'!U14</f>
        <v>keh</v>
      </c>
    </row>
    <row r="218" spans="1:21">
      <c r="A218" s="143" t="str">
        <f>'645'!A33</f>
        <v>Sch-K</v>
      </c>
      <c r="B218" s="11" t="str">
        <f>'645'!B33</f>
        <v>Xenotar MF 80/2.8</v>
      </c>
      <c r="C218" s="16">
        <f>'645'!C33</f>
        <v>80</v>
      </c>
      <c r="D218" s="18" t="str">
        <f>'645'!D33</f>
        <v>2.8</v>
      </c>
      <c r="E218" s="31">
        <f>'645'!E33</f>
        <v>128</v>
      </c>
      <c r="F218" s="16" t="str">
        <f>'645'!F33</f>
        <v>P6</v>
      </c>
      <c r="G218" s="58">
        <f>'645'!G33</f>
        <v>0.6</v>
      </c>
      <c r="H218" s="53">
        <f>'645'!H33</f>
        <v>0.5</v>
      </c>
      <c r="I218" s="16">
        <f>'645'!I33</f>
        <v>72</v>
      </c>
      <c r="J218" s="16">
        <f>'645'!J33</f>
        <v>84</v>
      </c>
      <c r="K218" s="18">
        <f>'645'!K33</f>
        <v>67</v>
      </c>
      <c r="L218" s="25">
        <f>'645'!L33</f>
        <v>789.53846153846155</v>
      </c>
      <c r="M218" s="36" t="str">
        <f>'645'!M33</f>
        <v>.16-01</v>
      </c>
      <c r="N218" s="25">
        <f>'645'!N33</f>
        <v>1112.3333333333333</v>
      </c>
      <c r="O218" s="73" t="str">
        <f>'645'!O33</f>
        <v>.14-07</v>
      </c>
      <c r="P218" s="25" t="str">
        <f>'645'!P33</f>
        <v xml:space="preserve"> </v>
      </c>
      <c r="Q218" s="36" t="str">
        <f>'645'!Q33</f>
        <v xml:space="preserve"> </v>
      </c>
      <c r="R218" s="31" t="str">
        <f>'645'!R33</f>
        <v xml:space="preserve"> </v>
      </c>
      <c r="S218" s="25">
        <f>'645'!S33</f>
        <v>1145</v>
      </c>
      <c r="T218" s="36" t="str">
        <f>'645'!T33</f>
        <v>.14-10</v>
      </c>
      <c r="U218" s="31" t="str">
        <f>'645'!U33</f>
        <v>igor</v>
      </c>
    </row>
    <row r="219" spans="1:21">
      <c r="A219" s="144" t="str">
        <f>'645'!A15</f>
        <v>Mamiya</v>
      </c>
      <c r="B219" s="22" t="str">
        <f>'645'!B15</f>
        <v>Mamiya-Sekor C 80/4 N Macro</v>
      </c>
      <c r="C219" s="27">
        <f>'645'!C15</f>
        <v>80</v>
      </c>
      <c r="D219" s="41" t="str">
        <f>'645'!D15</f>
        <v>4</v>
      </c>
      <c r="E219" s="33">
        <f>'645'!E15</f>
        <v>128</v>
      </c>
      <c r="F219" s="27" t="str">
        <f>'645'!F15</f>
        <v>M645</v>
      </c>
      <c r="G219" s="55">
        <f>'645'!G15</f>
        <v>0.37</v>
      </c>
      <c r="H219" s="56">
        <f>'645'!H15</f>
        <v>0.58499999999999996</v>
      </c>
      <c r="I219" s="27">
        <f>'645'!I15</f>
        <v>75</v>
      </c>
      <c r="J219" s="27">
        <f>'645'!J15</f>
        <v>79</v>
      </c>
      <c r="K219" s="41">
        <f>'645'!K15</f>
        <v>67</v>
      </c>
      <c r="L219" s="26">
        <f>'645'!L15</f>
        <v>130.30000000000001</v>
      </c>
      <c r="M219" s="24" t="str">
        <f>'645'!M15</f>
        <v>.16-05</v>
      </c>
      <c r="N219" s="26">
        <f>'645'!N15</f>
        <v>210.25</v>
      </c>
      <c r="O219" s="124" t="str">
        <f>'645'!O15</f>
        <v>.16-02</v>
      </c>
      <c r="P219" s="26">
        <f>'645'!P15</f>
        <v>113.24</v>
      </c>
      <c r="Q219" s="24" t="str">
        <f>'645'!Q15</f>
        <v>.16-03</v>
      </c>
      <c r="R219" s="33" t="str">
        <f>'645'!R15</f>
        <v>ctc</v>
      </c>
      <c r="S219" s="26">
        <f>'645'!S15</f>
        <v>275</v>
      </c>
      <c r="T219" s="24" t="str">
        <f>'645'!T15</f>
        <v>.15-01</v>
      </c>
      <c r="U219" s="33" t="str">
        <f>'645'!U15</f>
        <v>igor</v>
      </c>
    </row>
    <row r="220" spans="1:21">
      <c r="A220" s="143" t="str">
        <f>EFp!A35</f>
        <v>Canon</v>
      </c>
      <c r="B220" s="11" t="str">
        <f>EFp!B35</f>
        <v xml:space="preserve">EF 85/1.2 L USM </v>
      </c>
      <c r="C220" s="16">
        <f>EFp!C35</f>
        <v>85</v>
      </c>
      <c r="D220" s="18">
        <f>EFp!D35</f>
        <v>1.2</v>
      </c>
      <c r="E220" s="31">
        <f>EFp!E35</f>
        <v>136</v>
      </c>
      <c r="F220" s="16" t="str">
        <f>EFp!F35</f>
        <v>EF</v>
      </c>
      <c r="G220" s="58">
        <f>EFp!G35</f>
        <v>0.95</v>
      </c>
      <c r="H220" s="53">
        <f>EFp!H35</f>
        <v>1.0249999999999999</v>
      </c>
      <c r="I220" s="16">
        <f>EFp!I35</f>
        <v>84</v>
      </c>
      <c r="J220" s="16">
        <f>EFp!J35</f>
        <v>91.5</v>
      </c>
      <c r="K220" s="18">
        <f>EFp!K35</f>
        <v>72</v>
      </c>
      <c r="L220" s="25">
        <f>EFp!L35</f>
        <v>1043.0999999999999</v>
      </c>
      <c r="M220" s="36" t="str">
        <f>EFp!M35</f>
        <v>.16-05</v>
      </c>
      <c r="N220" s="25">
        <f>EFp!N35</f>
        <v>1272.1666666666667</v>
      </c>
      <c r="O220" s="73" t="str">
        <f>EFp!O35</f>
        <v>.16-05</v>
      </c>
      <c r="P220" s="25">
        <f>EFp!P35</f>
        <v>1360</v>
      </c>
      <c r="Q220" s="36" t="str">
        <f>EFp!Q35</f>
        <v>.16-01</v>
      </c>
      <c r="R220" s="31" t="str">
        <f>EFp!R35</f>
        <v>keh</v>
      </c>
      <c r="S220" s="25">
        <f>EFp!S35</f>
        <v>1195</v>
      </c>
      <c r="T220" s="36" t="str">
        <f>EFp!T35</f>
        <v>.15-11</v>
      </c>
      <c r="U220" s="31" t="str">
        <f>EFp!U35</f>
        <v>camW</v>
      </c>
    </row>
    <row r="221" spans="1:21">
      <c r="A221" s="143" t="str">
        <f>EFp!A36</f>
        <v>Canon</v>
      </c>
      <c r="B221" s="11" t="str">
        <f>EFp!B36</f>
        <v xml:space="preserve">EF 85/1.2 L II USM </v>
      </c>
      <c r="C221" s="16">
        <f>EFp!C36</f>
        <v>85</v>
      </c>
      <c r="D221" s="18">
        <f>EFp!D36</f>
        <v>1.2</v>
      </c>
      <c r="E221" s="31">
        <f>EFp!E36</f>
        <v>136</v>
      </c>
      <c r="F221" s="16" t="str">
        <f>EFp!F36</f>
        <v>EF</v>
      </c>
      <c r="G221" s="58">
        <f>EFp!G36</f>
        <v>0.95</v>
      </c>
      <c r="H221" s="53">
        <f>EFp!H36</f>
        <v>1.0249999999999999</v>
      </c>
      <c r="I221" s="16">
        <f>EFp!I36</f>
        <v>84</v>
      </c>
      <c r="J221" s="16">
        <f>EFp!J36</f>
        <v>91.5</v>
      </c>
      <c r="K221" s="18">
        <f>EFp!K36</f>
        <v>72</v>
      </c>
      <c r="L221" s="25">
        <f>EFp!L36</f>
        <v>1297</v>
      </c>
      <c r="M221" s="36" t="str">
        <f>EFp!M36</f>
        <v>.16-05</v>
      </c>
      <c r="N221" s="25">
        <f>EFp!N36</f>
        <v>1499</v>
      </c>
      <c r="O221" s="73" t="str">
        <f>EFp!O36</f>
        <v>.16-05</v>
      </c>
      <c r="P221" s="25">
        <f>EFp!P36</f>
        <v>1640</v>
      </c>
      <c r="Q221" s="36" t="str">
        <f>EFp!Q36</f>
        <v>.16-01</v>
      </c>
      <c r="R221" s="31" t="str">
        <f>EFp!R36</f>
        <v>LA</v>
      </c>
      <c r="S221" s="25">
        <f>EFp!S36</f>
        <v>1595</v>
      </c>
      <c r="T221" s="36" t="str">
        <f>EFp!T36</f>
        <v>.16-01</v>
      </c>
      <c r="U221" s="31" t="str">
        <f>EFp!U36</f>
        <v>igor</v>
      </c>
    </row>
    <row r="222" spans="1:21">
      <c r="A222" s="143" t="str">
        <f>CZ.V!A49</f>
        <v>Carl Zeiss</v>
      </c>
      <c r="B222" s="11" t="str">
        <f>CZ.V!B49</f>
        <v>Planar T* 85/1.2 CY</v>
      </c>
      <c r="C222" s="16">
        <f>CZ.V!C49</f>
        <v>85</v>
      </c>
      <c r="D222" s="18">
        <f>CZ.V!D49</f>
        <v>1.2</v>
      </c>
      <c r="E222" s="31">
        <f>CZ.V!E49</f>
        <v>136</v>
      </c>
      <c r="F222" s="16" t="str">
        <f>CZ.V!F49</f>
        <v>CY</v>
      </c>
      <c r="G222" s="58">
        <f>CZ.V!G49</f>
        <v>1</v>
      </c>
      <c r="H222" s="53">
        <f>CZ.V!H49</f>
        <v>0.874</v>
      </c>
      <c r="I222" s="16">
        <f>CZ.V!I49</f>
        <v>72.5</v>
      </c>
      <c r="J222" s="16">
        <f>CZ.V!J49</f>
        <v>80</v>
      </c>
      <c r="K222" s="18">
        <f>CZ.V!K49</f>
        <v>77</v>
      </c>
      <c r="L222" s="25">
        <f>CZ.V!L49</f>
        <v>2668.3333333333335</v>
      </c>
      <c r="M222" s="36" t="str">
        <f>CZ.V!M49</f>
        <v>.12-11</v>
      </c>
      <c r="N222" s="25">
        <f>CZ.V!N49</f>
        <v>3476.1666666666665</v>
      </c>
      <c r="O222" s="73" t="str">
        <f>CZ.V!O49</f>
        <v>.15-11</v>
      </c>
      <c r="P222" s="25">
        <f>CZ.V!P49</f>
        <v>2955.64</v>
      </c>
      <c r="Q222" s="36" t="str">
        <f>CZ.V!Q49</f>
        <v>.16-03</v>
      </c>
      <c r="R222" s="31" t="str">
        <f>CZ.V!R49</f>
        <v>ctc</v>
      </c>
      <c r="S222" s="25" t="str">
        <f>CZ.V!S49</f>
        <v xml:space="preserve"> </v>
      </c>
      <c r="T222" s="36" t="str">
        <f>CZ.V!T49</f>
        <v xml:space="preserve"> </v>
      </c>
      <c r="U222" s="31" t="str">
        <f>CZ.V!U49</f>
        <v xml:space="preserve"> </v>
      </c>
    </row>
    <row r="223" spans="1:21">
      <c r="A223" s="143" t="str">
        <f>STT!A18</f>
        <v>Sigma</v>
      </c>
      <c r="B223" s="11" t="str">
        <f>STT!B18</f>
        <v>EX 85/1.4 DG</v>
      </c>
      <c r="C223" s="16">
        <f>STT!C18</f>
        <v>85</v>
      </c>
      <c r="D223" s="18">
        <f>STT!D18</f>
        <v>1.4</v>
      </c>
      <c r="E223" s="31">
        <f>STT!E18</f>
        <v>136</v>
      </c>
      <c r="F223" s="16" t="str">
        <f>STT!F18</f>
        <v>EF</v>
      </c>
      <c r="G223" s="58">
        <f>STT!G18</f>
        <v>0.85</v>
      </c>
      <c r="H223" s="53">
        <f>STT!H18</f>
        <v>0.72499999999999998</v>
      </c>
      <c r="I223" s="16">
        <f>STT!I18</f>
        <v>86.4</v>
      </c>
      <c r="J223" s="16">
        <f>STT!J18</f>
        <v>86.4</v>
      </c>
      <c r="K223" s="18">
        <f>STT!K18</f>
        <v>77</v>
      </c>
      <c r="L223" s="25">
        <f>STT!L18</f>
        <v>597.14285714285711</v>
      </c>
      <c r="M223" s="36" t="str">
        <f>STT!M18</f>
        <v>.16-05</v>
      </c>
      <c r="N223" s="25">
        <f>STT!N18</f>
        <v>662.9</v>
      </c>
      <c r="O223" s="73" t="str">
        <f>STT!O18</f>
        <v>.15-11</v>
      </c>
      <c r="P223" s="25">
        <f>STT!P18</f>
        <v>720</v>
      </c>
      <c r="Q223" s="36" t="str">
        <f>STT!Q18</f>
        <v>.16-01</v>
      </c>
      <c r="R223" s="31" t="str">
        <f>STT!R18</f>
        <v>LA</v>
      </c>
      <c r="S223" s="25">
        <f>STT!S18</f>
        <v>822</v>
      </c>
      <c r="T223" s="36" t="str">
        <f>STT!T18</f>
        <v>.16-01</v>
      </c>
      <c r="U223" s="31" t="str">
        <f>STT!U18</f>
        <v>keh</v>
      </c>
    </row>
    <row r="224" spans="1:21">
      <c r="A224" s="143" t="str">
        <f>CZ.V!A11</f>
        <v>Carl Zeiss</v>
      </c>
      <c r="B224" s="11" t="str">
        <f>CZ.V!B11</f>
        <v>Milvus 85/1.4 ZE</v>
      </c>
      <c r="C224" s="16">
        <f>CZ.V!C11</f>
        <v>85</v>
      </c>
      <c r="D224" s="18">
        <f>CZ.V!D11</f>
        <v>1.4</v>
      </c>
      <c r="E224" s="31">
        <f>CZ.V!E11</f>
        <v>136</v>
      </c>
      <c r="F224" s="16" t="str">
        <f>CZ.V!F11</f>
        <v>ZE</v>
      </c>
      <c r="G224" s="58">
        <f>CZ.V!G11</f>
        <v>0.8</v>
      </c>
      <c r="H224" s="53">
        <f>CZ.V!H11</f>
        <v>1.28</v>
      </c>
      <c r="I224" s="16">
        <f>CZ.V!I11</f>
        <v>113</v>
      </c>
      <c r="J224" s="16">
        <f>CZ.V!J11</f>
        <v>90</v>
      </c>
      <c r="K224" s="18">
        <f>CZ.V!K11</f>
        <v>77</v>
      </c>
      <c r="L224" s="25">
        <f>CZ.V!L11</f>
        <v>0</v>
      </c>
      <c r="M224" s="36" t="str">
        <f>CZ.V!M11</f>
        <v xml:space="preserve"> </v>
      </c>
      <c r="N224" s="25">
        <f>CZ.V!N11</f>
        <v>1777.3333333333333</v>
      </c>
      <c r="O224" s="73" t="str">
        <f>CZ.V!O11</f>
        <v>.16-01</v>
      </c>
      <c r="P224" s="25" t="str">
        <f>CZ.V!P11</f>
        <v xml:space="preserve"> </v>
      </c>
      <c r="Q224" s="36" t="str">
        <f>CZ.V!Q11</f>
        <v xml:space="preserve"> </v>
      </c>
      <c r="R224" s="31" t="str">
        <f>CZ.V!R11</f>
        <v xml:space="preserve"> </v>
      </c>
      <c r="S224" s="25">
        <f>CZ.V!S11</f>
        <v>1800</v>
      </c>
      <c r="T224" s="36" t="str">
        <f>CZ.V!T11</f>
        <v>.15-09</v>
      </c>
      <c r="U224" s="31" t="str">
        <f>CZ.V!U11</f>
        <v>b&amp;h</v>
      </c>
    </row>
    <row r="225" spans="1:21">
      <c r="A225" s="143" t="str">
        <f>CZ.V!A16</f>
        <v>Carl Zeiss</v>
      </c>
      <c r="B225" s="11" t="str">
        <f>CZ.V!B16</f>
        <v>Otus Apo Planar T* 85/1.4 ZE</v>
      </c>
      <c r="C225" s="16">
        <f>CZ.V!C16</f>
        <v>85</v>
      </c>
      <c r="D225" s="18">
        <f>CZ.V!D16</f>
        <v>1.4</v>
      </c>
      <c r="E225" s="31">
        <f>CZ.V!E16</f>
        <v>136</v>
      </c>
      <c r="F225" s="16" t="str">
        <f>CZ.V!F16</f>
        <v>ZE</v>
      </c>
      <c r="G225" s="58">
        <f>CZ.V!G16</f>
        <v>0.8</v>
      </c>
      <c r="H225" s="53">
        <f>CZ.V!H16</f>
        <v>1.2</v>
      </c>
      <c r="I225" s="16">
        <f>CZ.V!I16</f>
        <v>124</v>
      </c>
      <c r="J225" s="16">
        <f>CZ.V!J16</f>
        <v>101</v>
      </c>
      <c r="K225" s="18">
        <f>CZ.V!K16</f>
        <v>86</v>
      </c>
      <c r="L225" s="25">
        <f>CZ.V!L16</f>
        <v>3238</v>
      </c>
      <c r="M225" s="36" t="str">
        <f>CZ.V!M16</f>
        <v>.16-01</v>
      </c>
      <c r="N225" s="25">
        <f>CZ.V!N16</f>
        <v>3533.2857142857142</v>
      </c>
      <c r="O225" s="73" t="str">
        <f>CZ.V!O16</f>
        <v>.16-05</v>
      </c>
      <c r="P225" s="25" t="str">
        <f>CZ.V!P16</f>
        <v xml:space="preserve"> </v>
      </c>
      <c r="Q225" s="36" t="str">
        <f>CZ.V!Q16</f>
        <v xml:space="preserve"> </v>
      </c>
      <c r="R225" s="31" t="str">
        <f>CZ.V!R16</f>
        <v xml:space="preserve"> </v>
      </c>
      <c r="S225" s="25">
        <f>CZ.V!S16</f>
        <v>3650</v>
      </c>
      <c r="T225" s="36" t="str">
        <f>CZ.V!T16</f>
        <v>.16-01</v>
      </c>
      <c r="U225" s="31" t="str">
        <f>CZ.V!U16</f>
        <v>LA</v>
      </c>
    </row>
    <row r="226" spans="1:21">
      <c r="A226" s="143" t="str">
        <f>CZ.V!A27</f>
        <v>Carl Zeiss</v>
      </c>
      <c r="B226" s="11" t="str">
        <f>CZ.V!B27</f>
        <v>Planar T* 85/1.4 ZE</v>
      </c>
      <c r="C226" s="16">
        <f>CZ.V!C27</f>
        <v>85</v>
      </c>
      <c r="D226" s="18">
        <f>CZ.V!D27</f>
        <v>1.4</v>
      </c>
      <c r="E226" s="31">
        <f>CZ.V!E27</f>
        <v>136</v>
      </c>
      <c r="F226" s="16" t="str">
        <f>CZ.V!F27</f>
        <v>ZE</v>
      </c>
      <c r="G226" s="58">
        <f>CZ.V!G27</f>
        <v>1</v>
      </c>
      <c r="H226" s="53">
        <f>CZ.V!H27</f>
        <v>0.67</v>
      </c>
      <c r="I226" s="16">
        <f>CZ.V!I27</f>
        <v>65</v>
      </c>
      <c r="J226" s="16">
        <f>CZ.V!J27</f>
        <v>78</v>
      </c>
      <c r="K226" s="18">
        <f>CZ.V!K27</f>
        <v>72</v>
      </c>
      <c r="L226" s="25">
        <f>CZ.V!L27</f>
        <v>658.66666666666663</v>
      </c>
      <c r="M226" s="36" t="str">
        <f>CZ.V!M27</f>
        <v>.16-05</v>
      </c>
      <c r="N226" s="25">
        <f>CZ.V!N27</f>
        <v>875.7</v>
      </c>
      <c r="O226" s="73" t="str">
        <f>CZ.V!O27</f>
        <v>.16-05</v>
      </c>
      <c r="P226" s="25">
        <f>CZ.V!P27</f>
        <v>720</v>
      </c>
      <c r="Q226" s="36" t="str">
        <f>CZ.V!Q27</f>
        <v>.16-01</v>
      </c>
      <c r="R226" s="31" t="str">
        <f>CZ.V!R27</f>
        <v>LA</v>
      </c>
      <c r="S226" s="25">
        <f>CZ.V!S27</f>
        <v>1121</v>
      </c>
      <c r="T226" s="36" t="str">
        <f>CZ.V!T27</f>
        <v>.15-04</v>
      </c>
      <c r="U226" s="31" t="str">
        <f>CZ.V!U27</f>
        <v>camtec</v>
      </c>
    </row>
    <row r="227" spans="1:21">
      <c r="A227" s="143" t="str">
        <f>CZ.V!A50</f>
        <v>Carl Zeiss</v>
      </c>
      <c r="B227" s="11" t="str">
        <f>CZ.V!B50</f>
        <v>Planar T* 85/1.4 CY</v>
      </c>
      <c r="C227" s="16">
        <f>CZ.V!C50</f>
        <v>85</v>
      </c>
      <c r="D227" s="18">
        <f>CZ.V!D50</f>
        <v>1.4</v>
      </c>
      <c r="E227" s="31">
        <f>CZ.V!E50</f>
        <v>136</v>
      </c>
      <c r="F227" s="16" t="str">
        <f>CZ.V!F50</f>
        <v>CY</v>
      </c>
      <c r="G227" s="58">
        <f>CZ.V!G50</f>
        <v>1</v>
      </c>
      <c r="H227" s="53">
        <f>CZ.V!H50</f>
        <v>0.59499999999999997</v>
      </c>
      <c r="I227" s="16">
        <f>CZ.V!I50</f>
        <v>64</v>
      </c>
      <c r="J227" s="16">
        <f>CZ.V!J50</f>
        <v>70</v>
      </c>
      <c r="K227" s="18">
        <f>CZ.V!K50</f>
        <v>67</v>
      </c>
      <c r="L227" s="25">
        <f>CZ.V!L50</f>
        <v>481.33333333333331</v>
      </c>
      <c r="M227" s="36" t="str">
        <f>CZ.V!M50</f>
        <v>.16-04</v>
      </c>
      <c r="N227" s="25">
        <f>CZ.V!N50</f>
        <v>658.66666666666663</v>
      </c>
      <c r="O227" s="73" t="str">
        <f>CZ.V!O50</f>
        <v>.16-05</v>
      </c>
      <c r="P227" s="25">
        <f>CZ.V!P50</f>
        <v>750</v>
      </c>
      <c r="Q227" s="36" t="str">
        <f>CZ.V!Q50</f>
        <v>.16-05</v>
      </c>
      <c r="R227" s="31" t="str">
        <f>CZ.V!R50</f>
        <v>b&amp;h</v>
      </c>
      <c r="S227" s="25">
        <f>CZ.V!S50</f>
        <v>850</v>
      </c>
      <c r="T227" s="36" t="str">
        <f>CZ.V!T50</f>
        <v>.15-11</v>
      </c>
      <c r="U227" s="31" t="str">
        <f>CZ.V!U50</f>
        <v>keh</v>
      </c>
    </row>
    <row r="228" spans="1:21">
      <c r="A228" s="143" t="str">
        <f>CZ.V!A76</f>
        <v>Carl Zeiss</v>
      </c>
      <c r="B228" s="11" t="str">
        <f>CZ.V!B76</f>
        <v>Planar T* 85/1.4 N</v>
      </c>
      <c r="C228" s="16">
        <f>CZ.V!C76</f>
        <v>85</v>
      </c>
      <c r="D228" s="18">
        <f>CZ.V!D76</f>
        <v>1.4</v>
      </c>
      <c r="E228" s="31">
        <f>CZ.V!E76</f>
        <v>136</v>
      </c>
      <c r="F228" s="16" t="str">
        <f>CZ.V!F76</f>
        <v>N</v>
      </c>
      <c r="G228" s="58">
        <f>CZ.V!G76</f>
        <v>0.83</v>
      </c>
      <c r="H228" s="53">
        <f>CZ.V!H76</f>
        <v>0.8</v>
      </c>
      <c r="I228" s="16">
        <f>CZ.V!I76</f>
        <v>80</v>
      </c>
      <c r="J228" s="16">
        <f>CZ.V!J76</f>
        <v>90</v>
      </c>
      <c r="K228" s="18">
        <f>CZ.V!K76</f>
        <v>82</v>
      </c>
      <c r="L228" s="25">
        <f>CZ.V!L76</f>
        <v>685</v>
      </c>
      <c r="M228" s="36" t="str">
        <f>CZ.V!M76</f>
        <v>.13-04</v>
      </c>
      <c r="N228" s="25">
        <f>CZ.V!N76</f>
        <v>1408.4</v>
      </c>
      <c r="O228" s="73" t="str">
        <f>CZ.V!O76</f>
        <v>.15-12</v>
      </c>
      <c r="P228" s="25">
        <f>CZ.V!P76</f>
        <v>1080</v>
      </c>
      <c r="Q228" s="36" t="str">
        <f>CZ.V!Q76</f>
        <v>.15-11</v>
      </c>
      <c r="R228" s="31" t="str">
        <f>CZ.V!R76</f>
        <v>keh</v>
      </c>
      <c r="S228" s="25">
        <f>CZ.V!S76</f>
        <v>1304</v>
      </c>
      <c r="T228" s="36" t="str">
        <f>CZ.V!T76</f>
        <v>.14-03</v>
      </c>
      <c r="U228" s="31" t="str">
        <f>CZ.V!U76</f>
        <v>ado</v>
      </c>
    </row>
    <row r="229" spans="1:21">
      <c r="A229" s="143" t="str">
        <f>LNOP!A53</f>
        <v>Nikon</v>
      </c>
      <c r="B229" s="11" t="str">
        <f>LNOP!B53</f>
        <v>Nikkor 85/1.4 AIS</v>
      </c>
      <c r="C229" s="16">
        <f>LNOP!C53</f>
        <v>85</v>
      </c>
      <c r="D229" s="18">
        <f>LNOP!D53</f>
        <v>1.4</v>
      </c>
      <c r="E229" s="31">
        <f>LNOP!E53</f>
        <v>136</v>
      </c>
      <c r="F229" s="16" t="str">
        <f>LNOP!F53</f>
        <v>AIS</v>
      </c>
      <c r="G229" s="58">
        <f>LNOP!G53</f>
        <v>0.85</v>
      </c>
      <c r="H229" s="53">
        <f>LNOP!H53</f>
        <v>0.62</v>
      </c>
      <c r="I229" s="16">
        <f>LNOP!I53</f>
        <v>64.5</v>
      </c>
      <c r="J229" s="16">
        <f>LNOP!J53</f>
        <v>80.5</v>
      </c>
      <c r="K229" s="18">
        <f>LNOP!K53</f>
        <v>72</v>
      </c>
      <c r="L229" s="25">
        <f>LNOP!L53</f>
        <v>443.25</v>
      </c>
      <c r="M229" s="36" t="str">
        <f>LNOP!M53</f>
        <v>.16-05</v>
      </c>
      <c r="N229" s="25">
        <f>LNOP!N53</f>
        <v>555.44124999999997</v>
      </c>
      <c r="O229" s="73" t="str">
        <f>LNOP!O53</f>
        <v>.16-05</v>
      </c>
      <c r="P229" s="25">
        <f>LNOP!P53</f>
        <v>600</v>
      </c>
      <c r="Q229" s="36" t="str">
        <f>LNOP!Q53</f>
        <v>.16-01</v>
      </c>
      <c r="R229" s="31" t="str">
        <f>LNOP!R53</f>
        <v>b&amp;h</v>
      </c>
      <c r="S229" s="25">
        <f>LNOP!S53</f>
        <v>950</v>
      </c>
      <c r="T229" s="36" t="str">
        <f>LNOP!T53</f>
        <v>.14-08</v>
      </c>
      <c r="U229" s="31" t="str">
        <f>LNOP!U53</f>
        <v>camtec</v>
      </c>
    </row>
    <row r="230" spans="1:21">
      <c r="A230" s="143" t="str">
        <f>LNOP!A129</f>
        <v>Pentax</v>
      </c>
      <c r="B230" s="11" t="str">
        <f>LNOP!B129</f>
        <v xml:space="preserve">SMC Pentax-A* 85mm f/1.4 </v>
      </c>
      <c r="C230" s="16">
        <f>LNOP!C129</f>
        <v>85</v>
      </c>
      <c r="D230" s="18">
        <f>LNOP!D129</f>
        <v>1.4</v>
      </c>
      <c r="E230" s="31">
        <f>LNOP!E129</f>
        <v>136</v>
      </c>
      <c r="F230" s="16" t="str">
        <f>LNOP!F129</f>
        <v>KA</v>
      </c>
      <c r="G230" s="58">
        <f>LNOP!G129</f>
        <v>0.85</v>
      </c>
      <c r="H230" s="53">
        <f>LNOP!H129</f>
        <v>0.55500000000000005</v>
      </c>
      <c r="I230" s="16">
        <f>LNOP!I129</f>
        <v>66</v>
      </c>
      <c r="J230" s="16">
        <f>LNOP!J129</f>
        <v>74</v>
      </c>
      <c r="K230" s="18">
        <f>LNOP!K129</f>
        <v>67</v>
      </c>
      <c r="L230" s="25">
        <f>LNOP!L129</f>
        <v>1013.1818181818181</v>
      </c>
      <c r="M230" s="36" t="str">
        <f>LNOP!M129</f>
        <v>.15-10</v>
      </c>
      <c r="N230" s="25">
        <f>LNOP!N129</f>
        <v>1172.2727272727273</v>
      </c>
      <c r="O230" s="73" t="str">
        <f>LNOP!O129</f>
        <v>.16-03</v>
      </c>
      <c r="P230" s="25">
        <f>LNOP!P129</f>
        <v>1170</v>
      </c>
      <c r="Q230" s="36" t="str">
        <f>LNOP!Q129</f>
        <v>.13-04</v>
      </c>
      <c r="R230" s="31" t="str">
        <f>LNOP!R129</f>
        <v>ado</v>
      </c>
      <c r="S230" s="25" t="str">
        <f>LNOP!S129</f>
        <v xml:space="preserve"> </v>
      </c>
      <c r="T230" s="36" t="str">
        <f>LNOP!T129</f>
        <v xml:space="preserve"> </v>
      </c>
      <c r="U230" s="31" t="str">
        <f>LNOP!U129</f>
        <v xml:space="preserve"> </v>
      </c>
    </row>
    <row r="231" spans="1:21">
      <c r="A231" s="143" t="str">
        <f>LNOP!A176</f>
        <v>Komura</v>
      </c>
      <c r="B231" s="11" t="str">
        <f>LNOP!B176</f>
        <v>85/1.4</v>
      </c>
      <c r="C231" s="16">
        <f>LNOP!C176</f>
        <v>85</v>
      </c>
      <c r="D231" s="18">
        <f>LNOP!D176</f>
        <v>1.4</v>
      </c>
      <c r="E231" s="31">
        <f>LNOP!E176</f>
        <v>136</v>
      </c>
      <c r="F231" s="16" t="str">
        <f>LNOP!F176</f>
        <v>x</v>
      </c>
      <c r="G231" s="58">
        <f>LNOP!G176</f>
        <v>1.0668</v>
      </c>
      <c r="H231" s="53">
        <f>LNOP!H176</f>
        <v>0.71</v>
      </c>
      <c r="I231" s="16">
        <f>LNOP!I176</f>
        <v>67.5</v>
      </c>
      <c r="J231" s="16" t="str">
        <f>LNOP!J176</f>
        <v xml:space="preserve"> </v>
      </c>
      <c r="K231" s="18">
        <f>LNOP!K176</f>
        <v>67</v>
      </c>
      <c r="L231" s="25">
        <f>LNOP!L176</f>
        <v>0</v>
      </c>
      <c r="M231" s="36" t="str">
        <f>LNOP!M176</f>
        <v xml:space="preserve"> </v>
      </c>
      <c r="N231" s="25">
        <f>LNOP!N176</f>
        <v>0</v>
      </c>
      <c r="O231" s="73" t="str">
        <f>LNOP!O176</f>
        <v xml:space="preserve"> </v>
      </c>
      <c r="P231" s="25" t="str">
        <f>LNOP!P176</f>
        <v xml:space="preserve"> </v>
      </c>
      <c r="Q231" s="36" t="str">
        <f>LNOP!Q176</f>
        <v xml:space="preserve"> </v>
      </c>
      <c r="R231" s="31" t="str">
        <f>LNOP!R176</f>
        <v xml:space="preserve"> </v>
      </c>
      <c r="S231" s="25" t="str">
        <f>LNOP!S176</f>
        <v xml:space="preserve"> </v>
      </c>
      <c r="T231" s="36" t="str">
        <f>LNOP!T176</f>
        <v xml:space="preserve"> </v>
      </c>
      <c r="U231" s="31" t="str">
        <f>LNOP!U176</f>
        <v xml:space="preserve"> </v>
      </c>
    </row>
    <row r="232" spans="1:21">
      <c r="A232" s="143" t="str">
        <f>LNOP!A156</f>
        <v>Rokinon</v>
      </c>
      <c r="B232" s="11" t="str">
        <f>LNOP!B156</f>
        <v>85/1.4 Aspherical IF</v>
      </c>
      <c r="C232" s="16">
        <f>LNOP!C156</f>
        <v>85</v>
      </c>
      <c r="D232" s="18">
        <f>LNOP!D156</f>
        <v>1.4</v>
      </c>
      <c r="E232" s="31">
        <f>LNOP!E156</f>
        <v>136</v>
      </c>
      <c r="F232" s="16" t="str">
        <f>LNOP!F156</f>
        <v>EFx</v>
      </c>
      <c r="G232" s="58">
        <f>LNOP!G156</f>
        <v>1</v>
      </c>
      <c r="H232" s="53">
        <f>LNOP!H156</f>
        <v>0.53900000000000003</v>
      </c>
      <c r="I232" s="16">
        <f>LNOP!I156</f>
        <v>74.7</v>
      </c>
      <c r="J232" s="16">
        <f>LNOP!J156</f>
        <v>78</v>
      </c>
      <c r="K232" s="18">
        <f>LNOP!K156</f>
        <v>72</v>
      </c>
      <c r="L232" s="25">
        <f>LNOP!L156</f>
        <v>195.36363636363637</v>
      </c>
      <c r="M232" s="36" t="str">
        <f>LNOP!M156</f>
        <v>.16-04</v>
      </c>
      <c r="N232" s="25">
        <f>LNOP!N156</f>
        <v>242.22222222222223</v>
      </c>
      <c r="O232" s="73" t="str">
        <f>LNOP!O156</f>
        <v>.16-05</v>
      </c>
      <c r="P232" s="25">
        <f>LNOP!P156</f>
        <v>210</v>
      </c>
      <c r="Q232" s="36" t="str">
        <f>LNOP!Q156</f>
        <v>.14-08</v>
      </c>
      <c r="R232" s="31" t="str">
        <f>LNOP!R156</f>
        <v>b&amp;h</v>
      </c>
      <c r="S232" s="25">
        <f>LNOP!S156</f>
        <v>208</v>
      </c>
      <c r="T232" s="36" t="str">
        <f>LNOP!T156</f>
        <v>.15-04</v>
      </c>
      <c r="U232" s="31" t="str">
        <f>LNOP!U156</f>
        <v>keh</v>
      </c>
    </row>
    <row r="233" spans="1:21">
      <c r="A233" s="143" t="str">
        <f>LNOP!A185</f>
        <v>Mamiya</v>
      </c>
      <c r="B233" s="11" t="str">
        <f>LNOP!B185</f>
        <v>mamyia/sekor AUTO 85/1.7 SX</v>
      </c>
      <c r="C233" s="16">
        <f>LNOP!C185</f>
        <v>85</v>
      </c>
      <c r="D233" s="18">
        <f>LNOP!D185</f>
        <v>1.7</v>
      </c>
      <c r="E233" s="31">
        <f>LNOP!E185</f>
        <v>136</v>
      </c>
      <c r="F233" s="16" t="str">
        <f>LNOP!F185</f>
        <v>M42</v>
      </c>
      <c r="G233" s="58">
        <f>LNOP!G185</f>
        <v>0.9</v>
      </c>
      <c r="H233" s="53">
        <f>LNOP!H185</f>
        <v>0.5</v>
      </c>
      <c r="I233" s="16" t="str">
        <f>LNOP!I185</f>
        <v xml:space="preserve"> </v>
      </c>
      <c r="J233" s="16" t="str">
        <f>LNOP!J185</f>
        <v xml:space="preserve"> </v>
      </c>
      <c r="K233" s="18">
        <f>LNOP!K185</f>
        <v>58</v>
      </c>
      <c r="L233" s="25">
        <f>LNOP!L185</f>
        <v>0</v>
      </c>
      <c r="M233" s="36" t="str">
        <f>LNOP!M185</f>
        <v xml:space="preserve"> </v>
      </c>
      <c r="N233" s="25">
        <f>LNOP!N185</f>
        <v>0</v>
      </c>
      <c r="O233" s="73" t="str">
        <f>LNOP!O185</f>
        <v xml:space="preserve"> </v>
      </c>
      <c r="P233" s="25" t="str">
        <f>LNOP!P185</f>
        <v xml:space="preserve"> </v>
      </c>
      <c r="Q233" s="36" t="str">
        <f>LNOP!Q185</f>
        <v xml:space="preserve"> </v>
      </c>
      <c r="R233" s="31" t="str">
        <f>LNOP!R185</f>
        <v xml:space="preserve"> </v>
      </c>
      <c r="S233" s="25" t="str">
        <f>LNOP!S185</f>
        <v xml:space="preserve"> </v>
      </c>
      <c r="T233" s="36" t="str">
        <f>LNOP!T185</f>
        <v xml:space="preserve"> </v>
      </c>
      <c r="U233" s="31" t="str">
        <f>LNOP!U185</f>
        <v xml:space="preserve"> </v>
      </c>
    </row>
    <row r="234" spans="1:21">
      <c r="A234" s="143" t="str">
        <f>EFp!A37</f>
        <v>Canon</v>
      </c>
      <c r="B234" s="11" t="str">
        <f>EFp!B37</f>
        <v>EF 85/1.8 USM</v>
      </c>
      <c r="C234" s="16">
        <f>EFp!C37</f>
        <v>85</v>
      </c>
      <c r="D234" s="18">
        <f>EFp!D37</f>
        <v>1.8</v>
      </c>
      <c r="E234" s="31">
        <f>EFp!E37</f>
        <v>136</v>
      </c>
      <c r="F234" s="16" t="str">
        <f>EFp!F37</f>
        <v>EF</v>
      </c>
      <c r="G234" s="58">
        <f>EFp!G37</f>
        <v>0.85</v>
      </c>
      <c r="H234" s="53">
        <f>EFp!H37</f>
        <v>0.42499999999999999</v>
      </c>
      <c r="I234" s="16">
        <f>EFp!I37</f>
        <v>71.5</v>
      </c>
      <c r="J234" s="16">
        <f>EFp!J37</f>
        <v>75</v>
      </c>
      <c r="K234" s="18">
        <f>EFp!K37</f>
        <v>58</v>
      </c>
      <c r="L234" s="25">
        <f>EFp!L37</f>
        <v>259.125</v>
      </c>
      <c r="M234" s="36" t="str">
        <f>EFp!M37</f>
        <v>.16-05</v>
      </c>
      <c r="N234" s="25">
        <f>EFp!N37</f>
        <v>302.25</v>
      </c>
      <c r="O234" s="73" t="str">
        <f>EFp!O37</f>
        <v>.16-05</v>
      </c>
      <c r="P234" s="25">
        <f>EFp!P37</f>
        <v>280</v>
      </c>
      <c r="Q234" s="36" t="str">
        <f>EFp!Q37</f>
        <v>.15-11</v>
      </c>
      <c r="R234" s="31" t="str">
        <f>EFp!R37</f>
        <v>ado</v>
      </c>
      <c r="S234" s="25">
        <f>EFp!S37</f>
        <v>328</v>
      </c>
      <c r="T234" s="36" t="str">
        <f>EFp!T37</f>
        <v>.16-01</v>
      </c>
      <c r="U234" s="31" t="str">
        <f>EFp!U37</f>
        <v>keh</v>
      </c>
    </row>
    <row r="235" spans="1:21">
      <c r="A235" s="143" t="str">
        <f>STT!A52</f>
        <v>Tamron</v>
      </c>
      <c r="B235" s="11" t="str">
        <f>STT!B52</f>
        <v>SP 85/1.8 Di VC USD</v>
      </c>
      <c r="C235" s="16">
        <f>STT!C52</f>
        <v>85</v>
      </c>
      <c r="D235" s="18">
        <f>STT!D52</f>
        <v>1.8</v>
      </c>
      <c r="E235" s="31">
        <f>STT!E52</f>
        <v>136</v>
      </c>
      <c r="F235" s="16" t="str">
        <f>STT!F52</f>
        <v>EF</v>
      </c>
      <c r="G235" s="58">
        <f>STT!G52</f>
        <v>0.8</v>
      </c>
      <c r="H235" s="53">
        <f>STT!H52</f>
        <v>0.7</v>
      </c>
      <c r="I235" s="16">
        <f>STT!I52</f>
        <v>91</v>
      </c>
      <c r="J235" s="16">
        <f>STT!J52</f>
        <v>85</v>
      </c>
      <c r="K235" s="18">
        <f>STT!K52</f>
        <v>67</v>
      </c>
      <c r="L235" s="25">
        <f>STT!L52</f>
        <v>630</v>
      </c>
      <c r="M235" s="36" t="str">
        <f>STT!M52</f>
        <v>.16-05</v>
      </c>
      <c r="N235" s="25">
        <f>STT!N52</f>
        <v>749</v>
      </c>
      <c r="O235" s="73" t="str">
        <f>STT!O52</f>
        <v>.16-05</v>
      </c>
      <c r="P235" s="25" t="str">
        <f>STT!P52</f>
        <v xml:space="preserve"> </v>
      </c>
      <c r="Q235" s="36" t="str">
        <f>STT!Q52</f>
        <v xml:space="preserve"> </v>
      </c>
      <c r="R235" s="31" t="str">
        <f>STT!R52</f>
        <v xml:space="preserve"> </v>
      </c>
      <c r="S235" s="25" t="str">
        <f>STT!S52</f>
        <v xml:space="preserve"> </v>
      </c>
      <c r="T235" s="36" t="str">
        <f>STT!T52</f>
        <v xml:space="preserve"> </v>
      </c>
      <c r="U235" s="31" t="str">
        <f>STT!U52</f>
        <v xml:space="preserve"> </v>
      </c>
    </row>
    <row r="236" spans="1:21">
      <c r="A236" s="143" t="str">
        <f>LNOP!A104</f>
        <v>Pentax</v>
      </c>
      <c r="B236" s="11" t="str">
        <f>LNOP!B104</f>
        <v>Auto-Takumar 85/1.8</v>
      </c>
      <c r="C236" s="16">
        <f>LNOP!C104</f>
        <v>85</v>
      </c>
      <c r="D236" s="18">
        <f>LNOP!D104</f>
        <v>1.8</v>
      </c>
      <c r="E236" s="31">
        <f>LNOP!E104</f>
        <v>136</v>
      </c>
      <c r="F236" s="16" t="str">
        <f>LNOP!F104</f>
        <v>M42</v>
      </c>
      <c r="G236" s="58">
        <f>LNOP!G104</f>
        <v>0.85</v>
      </c>
      <c r="H236" s="53">
        <f>LNOP!H104</f>
        <v>0.33</v>
      </c>
      <c r="I236" s="16">
        <f>LNOP!I104</f>
        <v>55</v>
      </c>
      <c r="J236" s="16">
        <f>LNOP!J104</f>
        <v>63</v>
      </c>
      <c r="K236" s="18">
        <f>LNOP!K104</f>
        <v>55</v>
      </c>
      <c r="L236" s="25">
        <f>LNOP!L104</f>
        <v>294</v>
      </c>
      <c r="M236" s="36" t="str">
        <f>LNOP!M104</f>
        <v>.16-04</v>
      </c>
      <c r="N236" s="25">
        <f>LNOP!N104</f>
        <v>373.25</v>
      </c>
      <c r="O236" s="73" t="str">
        <f>LNOP!O104</f>
        <v>.16-03</v>
      </c>
      <c r="P236" s="25" t="str">
        <f>LNOP!P104</f>
        <v xml:space="preserve"> </v>
      </c>
      <c r="Q236" s="36" t="str">
        <f>LNOP!Q104</f>
        <v xml:space="preserve"> </v>
      </c>
      <c r="R236" s="31" t="str">
        <f>LNOP!R104</f>
        <v xml:space="preserve"> </v>
      </c>
      <c r="S236" s="25" t="str">
        <f>LNOP!S104</f>
        <v xml:space="preserve"> </v>
      </c>
      <c r="T236" s="36" t="str">
        <f>LNOP!T104</f>
        <v xml:space="preserve"> </v>
      </c>
      <c r="U236" s="31" t="str">
        <f>LNOP!U104</f>
        <v xml:space="preserve"> </v>
      </c>
    </row>
    <row r="237" spans="1:21">
      <c r="A237" s="143" t="str">
        <f>LNOP!A105</f>
        <v>Pentax</v>
      </c>
      <c r="B237" s="11" t="str">
        <f>LNOP!B105</f>
        <v>SMC Takumar 85/1.8</v>
      </c>
      <c r="C237" s="16">
        <f>LNOP!C105</f>
        <v>85</v>
      </c>
      <c r="D237" s="18">
        <f>LNOP!D105</f>
        <v>1.8</v>
      </c>
      <c r="E237" s="31">
        <f>LNOP!E105</f>
        <v>136</v>
      </c>
      <c r="F237" s="16" t="str">
        <f>LNOP!F105</f>
        <v>M42</v>
      </c>
      <c r="G237" s="58">
        <f>LNOP!G105</f>
        <v>0.85</v>
      </c>
      <c r="H237" s="53">
        <f>LNOP!H105</f>
        <v>0.34100000000000003</v>
      </c>
      <c r="I237" s="16">
        <f>LNOP!I105</f>
        <v>57</v>
      </c>
      <c r="J237" s="16">
        <f>LNOP!J105</f>
        <v>65</v>
      </c>
      <c r="K237" s="18">
        <f>LNOP!K105</f>
        <v>58</v>
      </c>
      <c r="L237" s="25">
        <f>LNOP!L105</f>
        <v>352.77777777777777</v>
      </c>
      <c r="M237" s="36" t="str">
        <f>LNOP!M105</f>
        <v>.16-05</v>
      </c>
      <c r="N237" s="25">
        <f>LNOP!N105</f>
        <v>468.18181818181819</v>
      </c>
      <c r="O237" s="73" t="str">
        <f>LNOP!O105</f>
        <v>.16-05</v>
      </c>
      <c r="P237" s="25">
        <f>LNOP!P105</f>
        <v>572</v>
      </c>
      <c r="Q237" s="36" t="str">
        <f>LNOP!Q105</f>
        <v>.14-08</v>
      </c>
      <c r="R237" s="31" t="str">
        <f>LNOP!R105</f>
        <v>keh</v>
      </c>
      <c r="S237" s="25">
        <f>LNOP!S105</f>
        <v>575</v>
      </c>
      <c r="T237" s="36" t="str">
        <f>LNOP!T105</f>
        <v>.12-02</v>
      </c>
      <c r="U237" s="31" t="str">
        <f>LNOP!U105</f>
        <v>kevin</v>
      </c>
    </row>
    <row r="238" spans="1:21">
      <c r="A238" s="143" t="str">
        <f>LNOP!A130</f>
        <v>Pentax</v>
      </c>
      <c r="B238" s="11" t="str">
        <f>LNOP!B130</f>
        <v>SMC Pentax 85/1.8</v>
      </c>
      <c r="C238" s="16">
        <f>LNOP!C130</f>
        <v>85</v>
      </c>
      <c r="D238" s="18">
        <f>LNOP!D130</f>
        <v>1.8</v>
      </c>
      <c r="E238" s="31">
        <f>LNOP!E130</f>
        <v>136</v>
      </c>
      <c r="F238" s="16" t="str">
        <f>LNOP!F130</f>
        <v>K</v>
      </c>
      <c r="G238" s="58">
        <f>LNOP!G130</f>
        <v>0.85</v>
      </c>
      <c r="H238" s="53">
        <f>LNOP!H130</f>
        <v>0.33100000000000002</v>
      </c>
      <c r="I238" s="16">
        <f>LNOP!I130</f>
        <v>56</v>
      </c>
      <c r="J238" s="16">
        <f>LNOP!J130</f>
        <v>64</v>
      </c>
      <c r="K238" s="18">
        <f>LNOP!K130</f>
        <v>52</v>
      </c>
      <c r="L238" s="25">
        <f>LNOP!L130</f>
        <v>353.72727272727275</v>
      </c>
      <c r="M238" s="36" t="str">
        <f>LNOP!M130</f>
        <v>.16-05</v>
      </c>
      <c r="N238" s="25">
        <f>LNOP!N130</f>
        <v>450.08333333333331</v>
      </c>
      <c r="O238" s="73" t="str">
        <f>LNOP!O130</f>
        <v>.16-04</v>
      </c>
      <c r="P238" s="25">
        <f>LNOP!P130</f>
        <v>224.2</v>
      </c>
      <c r="Q238" s="36" t="str">
        <f>LNOP!Q130</f>
        <v>.16-05</v>
      </c>
      <c r="R238" s="31" t="str">
        <f>LNOP!R130</f>
        <v>v.v</v>
      </c>
      <c r="S238" s="25">
        <f>LNOP!S130</f>
        <v>850</v>
      </c>
      <c r="T238" s="36" t="str">
        <f>LNOP!T130</f>
        <v>.13-04</v>
      </c>
      <c r="U238" s="31" t="str">
        <f>LNOP!U130</f>
        <v>kevin</v>
      </c>
    </row>
    <row r="239" spans="1:21">
      <c r="A239" s="143" t="str">
        <f>LNOP!A84</f>
        <v>Olympus</v>
      </c>
      <c r="B239" s="11" t="str">
        <f>LNOP!B84</f>
        <v xml:space="preserve">Zuiko 85/2 Auto-T </v>
      </c>
      <c r="C239" s="16">
        <f>LNOP!C84</f>
        <v>85</v>
      </c>
      <c r="D239" s="18">
        <f>LNOP!D84</f>
        <v>2</v>
      </c>
      <c r="E239" s="31">
        <f>LNOP!E84</f>
        <v>136</v>
      </c>
      <c r="F239" s="16" t="str">
        <f>LNOP!F84</f>
        <v>OM</v>
      </c>
      <c r="G239" s="58">
        <f>LNOP!G84</f>
        <v>0.85</v>
      </c>
      <c r="H239" s="53">
        <f>LNOP!H84</f>
        <v>0.26</v>
      </c>
      <c r="I239" s="16">
        <f>LNOP!I84</f>
        <v>48</v>
      </c>
      <c r="J239" s="16">
        <f>LNOP!J84</f>
        <v>60</v>
      </c>
      <c r="K239" s="18">
        <f>LNOP!K84</f>
        <v>49</v>
      </c>
      <c r="L239" s="25">
        <f>LNOP!L84</f>
        <v>220.27272727272728</v>
      </c>
      <c r="M239" s="36" t="str">
        <f>LNOP!M84</f>
        <v>.16-05</v>
      </c>
      <c r="N239" s="25">
        <f>LNOP!N84</f>
        <v>348.77777777777777</v>
      </c>
      <c r="O239" s="73" t="str">
        <f>LNOP!O84</f>
        <v>.16-04</v>
      </c>
      <c r="P239" s="25">
        <f>LNOP!P84</f>
        <v>367</v>
      </c>
      <c r="Q239" s="36" t="str">
        <f>LNOP!Q84</f>
        <v>.15-04</v>
      </c>
      <c r="R239" s="31" t="str">
        <f>LNOP!R84</f>
        <v>keh</v>
      </c>
      <c r="S239" s="25">
        <f>LNOP!S84</f>
        <v>245</v>
      </c>
      <c r="T239" s="36" t="str">
        <f>LNOP!T84</f>
        <v>.14-03</v>
      </c>
      <c r="U239" s="31" t="str">
        <f>LNOP!U84</f>
        <v>igor</v>
      </c>
    </row>
    <row r="240" spans="1:21">
      <c r="A240" s="143" t="str">
        <f>LNOP!A131</f>
        <v>Pentax</v>
      </c>
      <c r="B240" s="11" t="str">
        <f>LNOP!B131</f>
        <v>SMC Pentax 85/2.2 Soft</v>
      </c>
      <c r="C240" s="16">
        <f>LNOP!C131</f>
        <v>85</v>
      </c>
      <c r="D240" s="18">
        <f>LNOP!D131</f>
        <v>2.2000000000000002</v>
      </c>
      <c r="E240" s="31">
        <f>LNOP!E131</f>
        <v>136</v>
      </c>
      <c r="F240" s="16" t="str">
        <f>LNOP!F131</f>
        <v>K</v>
      </c>
      <c r="G240" s="58">
        <f>LNOP!G131</f>
        <v>0.56999999999999995</v>
      </c>
      <c r="H240" s="53">
        <f>LNOP!H131</f>
        <v>0.23499999999999999</v>
      </c>
      <c r="I240" s="16">
        <f>LNOP!I131</f>
        <v>72</v>
      </c>
      <c r="J240" s="16">
        <f>LNOP!J131</f>
        <v>52</v>
      </c>
      <c r="K240" s="18">
        <f>LNOP!K131</f>
        <v>49</v>
      </c>
      <c r="L240" s="25">
        <f>LNOP!L131</f>
        <v>206.57142857142858</v>
      </c>
      <c r="M240" s="36" t="str">
        <f>LNOP!M131</f>
        <v>.16-05</v>
      </c>
      <c r="N240" s="25">
        <f>LNOP!N131</f>
        <v>310.60000000000002</v>
      </c>
      <c r="O240" s="73" t="str">
        <f>LNOP!O131</f>
        <v>.16-01</v>
      </c>
      <c r="P240" s="25">
        <f>LNOP!P131</f>
        <v>280</v>
      </c>
      <c r="Q240" s="36" t="str">
        <f>LNOP!Q131</f>
        <v>.16-01</v>
      </c>
      <c r="R240" s="31" t="str">
        <f>LNOP!R131</f>
        <v>keh</v>
      </c>
      <c r="S240" s="25">
        <f>LNOP!S131</f>
        <v>313</v>
      </c>
      <c r="T240" s="36" t="str">
        <f>LNOP!T131</f>
        <v>.16-01</v>
      </c>
      <c r="U240" s="31" t="str">
        <f>LNOP!U131</f>
        <v>keh</v>
      </c>
    </row>
    <row r="241" spans="1:21">
      <c r="A241" s="143" t="str">
        <f>CZ.V!A51</f>
        <v>Carl Zeiss</v>
      </c>
      <c r="B241" s="11" t="str">
        <f>CZ.V!B51</f>
        <v>Sonnar T* 85/2.8 CY</v>
      </c>
      <c r="C241" s="16">
        <f>CZ.V!C51</f>
        <v>85</v>
      </c>
      <c r="D241" s="18">
        <f>CZ.V!D51</f>
        <v>2.8</v>
      </c>
      <c r="E241" s="31">
        <f>CZ.V!E51</f>
        <v>136</v>
      </c>
      <c r="F241" s="16" t="str">
        <f>CZ.V!F51</f>
        <v>CY</v>
      </c>
      <c r="G241" s="58">
        <f>CZ.V!G51</f>
        <v>1</v>
      </c>
      <c r="H241" s="53">
        <f>CZ.V!H51</f>
        <v>0.23</v>
      </c>
      <c r="I241" s="16">
        <f>CZ.V!I51</f>
        <v>46.5</v>
      </c>
      <c r="J241" s="16">
        <f>CZ.V!J51</f>
        <v>61</v>
      </c>
      <c r="K241" s="18">
        <f>CZ.V!K51</f>
        <v>55</v>
      </c>
      <c r="L241" s="25">
        <f>CZ.V!L51</f>
        <v>242.9</v>
      </c>
      <c r="M241" s="36" t="str">
        <f>CZ.V!M51</f>
        <v>.16-05</v>
      </c>
      <c r="N241" s="25">
        <f>CZ.V!N51</f>
        <v>369.5</v>
      </c>
      <c r="O241" s="73" t="str">
        <f>CZ.V!O51</f>
        <v>.16-05</v>
      </c>
      <c r="P241" s="25">
        <f>CZ.V!P51</f>
        <v>195</v>
      </c>
      <c r="Q241" s="36" t="str">
        <f>CZ.V!Q51</f>
        <v>.15-03</v>
      </c>
      <c r="R241" s="31" t="str">
        <f>CZ.V!R51</f>
        <v>igor</v>
      </c>
      <c r="S241" s="25">
        <f>CZ.V!S51</f>
        <v>400</v>
      </c>
      <c r="T241" s="36" t="str">
        <f>CZ.V!T51</f>
        <v>.15-11</v>
      </c>
      <c r="U241" s="31" t="str">
        <f>CZ.V!U51</f>
        <v>b&amp;h</v>
      </c>
    </row>
    <row r="242" spans="1:21">
      <c r="A242" s="144" t="str">
        <f>LNOP!A167</f>
        <v>Fuji Photo</v>
      </c>
      <c r="B242" s="22" t="str">
        <f>LNOP!B167</f>
        <v>EBC Fujinon 85/4 soft</v>
      </c>
      <c r="C242" s="27">
        <f>LNOP!C167</f>
        <v>85</v>
      </c>
      <c r="D242" s="41">
        <f>LNOP!D167</f>
        <v>4</v>
      </c>
      <c r="E242" s="33">
        <f>LNOP!E167</f>
        <v>136</v>
      </c>
      <c r="F242" s="27" t="str">
        <f>LNOP!F167</f>
        <v>M42</v>
      </c>
      <c r="G242" s="55">
        <f>LNOP!G167</f>
        <v>1</v>
      </c>
      <c r="H242" s="56">
        <f>LNOP!H167</f>
        <v>0.28499999999999998</v>
      </c>
      <c r="I242" s="27" t="str">
        <f>LNOP!I167</f>
        <v xml:space="preserve"> </v>
      </c>
      <c r="J242" s="27" t="str">
        <f>LNOP!J167</f>
        <v xml:space="preserve"> </v>
      </c>
      <c r="K242" s="41">
        <f>LNOP!K167</f>
        <v>49</v>
      </c>
      <c r="L242" s="26">
        <f>LNOP!L167</f>
        <v>292.5</v>
      </c>
      <c r="M242" s="24" t="str">
        <f>LNOP!M167</f>
        <v>.15-11</v>
      </c>
      <c r="N242" s="26">
        <f>LNOP!N167</f>
        <v>802.33333333333337</v>
      </c>
      <c r="O242" s="124" t="str">
        <f>LNOP!O167</f>
        <v>.15-03</v>
      </c>
      <c r="P242" s="26" t="str">
        <f>LNOP!P167</f>
        <v xml:space="preserve"> </v>
      </c>
      <c r="Q242" s="24" t="str">
        <f>LNOP!Q167</f>
        <v xml:space="preserve"> </v>
      </c>
      <c r="R242" s="33" t="str">
        <f>LNOP!R167</f>
        <v xml:space="preserve"> </v>
      </c>
      <c r="S242" s="26" t="str">
        <f>LNOP!S167</f>
        <v xml:space="preserve"> </v>
      </c>
      <c r="T242" s="24" t="str">
        <f>LNOP!T167</f>
        <v xml:space="preserve"> </v>
      </c>
      <c r="U242" s="33" t="str">
        <f>LNOP!U167</f>
        <v xml:space="preserve"> </v>
      </c>
    </row>
    <row r="243" spans="1:21">
      <c r="A243" s="143" t="str">
        <f>LNOP!A25</f>
        <v>Leica</v>
      </c>
      <c r="B243" s="11" t="str">
        <f>LNOP!B25</f>
        <v>Summicron-R 90/2 E55</v>
      </c>
      <c r="C243" s="16">
        <f>LNOP!C25</f>
        <v>90</v>
      </c>
      <c r="D243" s="18">
        <f>LNOP!D25</f>
        <v>2</v>
      </c>
      <c r="E243" s="31">
        <f>LNOP!E25</f>
        <v>144</v>
      </c>
      <c r="F243" s="16" t="str">
        <f>LNOP!F25</f>
        <v>LR</v>
      </c>
      <c r="G243" s="58">
        <f>LNOP!G25</f>
        <v>0.7</v>
      </c>
      <c r="H243" s="53">
        <f>LNOP!H25</f>
        <v>0.52</v>
      </c>
      <c r="I243" s="16">
        <f>LNOP!I25</f>
        <v>61</v>
      </c>
      <c r="J243" s="16">
        <f>LNOP!J25</f>
        <v>69</v>
      </c>
      <c r="K243" s="18">
        <f>LNOP!K25</f>
        <v>55</v>
      </c>
      <c r="L243" s="25">
        <f>LNOP!L25</f>
        <v>555.11111111111109</v>
      </c>
      <c r="M243" s="36" t="str">
        <f>LNOP!M25</f>
        <v>.16-05</v>
      </c>
      <c r="N243" s="25">
        <f>LNOP!N25</f>
        <v>870.4</v>
      </c>
      <c r="O243" s="73" t="str">
        <f>LNOP!O25</f>
        <v>.16-05</v>
      </c>
      <c r="P243" s="25">
        <f>LNOP!P25</f>
        <v>715</v>
      </c>
      <c r="Q243" s="36" t="str">
        <f>LNOP!Q25</f>
        <v>.16-01</v>
      </c>
      <c r="R243" s="31" t="str">
        <f>LNOP!R25</f>
        <v>L-shop</v>
      </c>
      <c r="S243" s="25">
        <f>LNOP!S25</f>
        <v>850</v>
      </c>
      <c r="T243" s="36" t="str">
        <f>LNOP!T25</f>
        <v>.15-04</v>
      </c>
      <c r="U243" s="31" t="str">
        <f>LNOP!U25</f>
        <v>igor</v>
      </c>
    </row>
    <row r="244" spans="1:21">
      <c r="A244" s="143" t="str">
        <f>LNOP!A26</f>
        <v>Leica</v>
      </c>
      <c r="B244" s="11" t="str">
        <f>LNOP!B26</f>
        <v>Apo-Summicron-R 90/2 ASPH</v>
      </c>
      <c r="C244" s="16">
        <f>LNOP!C26</f>
        <v>90</v>
      </c>
      <c r="D244" s="18">
        <f>LNOP!D26</f>
        <v>2</v>
      </c>
      <c r="E244" s="31">
        <f>LNOP!E26</f>
        <v>144</v>
      </c>
      <c r="F244" s="16" t="str">
        <f>LNOP!F26</f>
        <v>LR</v>
      </c>
      <c r="G244" s="58">
        <f>LNOP!G26</f>
        <v>0.7</v>
      </c>
      <c r="H244" s="53">
        <f>LNOP!H26</f>
        <v>0.52</v>
      </c>
      <c r="I244" s="16">
        <f>LNOP!I26</f>
        <v>59</v>
      </c>
      <c r="J244" s="16">
        <f>LNOP!J26</f>
        <v>70</v>
      </c>
      <c r="K244" s="18">
        <f>LNOP!K26</f>
        <v>60</v>
      </c>
      <c r="L244" s="25">
        <f>LNOP!L26</f>
        <v>1605</v>
      </c>
      <c r="M244" s="36" t="str">
        <f>LNOP!M26</f>
        <v>.14-08</v>
      </c>
      <c r="N244" s="25">
        <f>LNOP!N26</f>
        <v>3512</v>
      </c>
      <c r="O244" s="73" t="str">
        <f>LNOP!O26</f>
        <v>.16-03</v>
      </c>
      <c r="P244" s="25">
        <f>LNOP!P26</f>
        <v>4500</v>
      </c>
      <c r="Q244" s="36" t="str">
        <f>LNOP!Q26</f>
        <v>.12-04</v>
      </c>
      <c r="R244" s="31" t="str">
        <f>LNOP!R26</f>
        <v>bergen</v>
      </c>
      <c r="S244" s="25">
        <f>LNOP!S26</f>
        <v>4620</v>
      </c>
      <c r="T244" s="36" t="str">
        <f>LNOP!T26</f>
        <v>.16-01</v>
      </c>
      <c r="U244" s="31" t="str">
        <f>LNOP!U26</f>
        <v>L-shop</v>
      </c>
    </row>
    <row r="245" spans="1:21">
      <c r="A245" s="143" t="str">
        <f>LNOP!A85</f>
        <v>Olympus</v>
      </c>
      <c r="B245" s="11" t="str">
        <f>LNOP!B85</f>
        <v>Zuiko 90/2 MC Macro</v>
      </c>
      <c r="C245" s="16">
        <f>LNOP!C85</f>
        <v>90</v>
      </c>
      <c r="D245" s="18">
        <f>LNOP!D85</f>
        <v>2</v>
      </c>
      <c r="E245" s="31">
        <f>LNOP!E85</f>
        <v>144</v>
      </c>
      <c r="F245" s="16" t="str">
        <f>LNOP!F85</f>
        <v>OM</v>
      </c>
      <c r="G245" s="58">
        <f>LNOP!G85</f>
        <v>0.4</v>
      </c>
      <c r="H245" s="53">
        <f>LNOP!H85</f>
        <v>0.55000000000000004</v>
      </c>
      <c r="I245" s="16">
        <f>LNOP!I85</f>
        <v>71</v>
      </c>
      <c r="J245" s="16">
        <f>LNOP!J85</f>
        <v>72</v>
      </c>
      <c r="K245" s="18">
        <f>LNOP!K85</f>
        <v>55</v>
      </c>
      <c r="L245" s="25">
        <f>LNOP!L85</f>
        <v>774.83333333333337</v>
      </c>
      <c r="M245" s="36" t="str">
        <f>LNOP!M85</f>
        <v>.16-05</v>
      </c>
      <c r="N245" s="25">
        <f>LNOP!N85</f>
        <v>1003.1666666666666</v>
      </c>
      <c r="O245" s="73" t="str">
        <f>LNOP!O85</f>
        <v>.16-03</v>
      </c>
      <c r="P245" s="25">
        <f>LNOP!P85</f>
        <v>1080</v>
      </c>
      <c r="Q245" s="36" t="str">
        <f>LNOP!Q85</f>
        <v>.16-01</v>
      </c>
      <c r="R245" s="31" t="str">
        <f>LNOP!R85</f>
        <v>keh</v>
      </c>
      <c r="S245" s="25" t="str">
        <f>LNOP!S85</f>
        <v xml:space="preserve"> </v>
      </c>
      <c r="T245" s="36" t="str">
        <f>LNOP!T85</f>
        <v xml:space="preserve"> </v>
      </c>
      <c r="U245" s="31" t="str">
        <f>LNOP!U85</f>
        <v xml:space="preserve"> </v>
      </c>
    </row>
    <row r="246" spans="1:21">
      <c r="A246" s="143" t="str">
        <f>STT!A53</f>
        <v>Tamron</v>
      </c>
      <c r="B246" s="11" t="str">
        <f>STT!B53</f>
        <v>SP 90/2.5 Macro [58BB]</v>
      </c>
      <c r="C246" s="16">
        <f>STT!C53</f>
        <v>90</v>
      </c>
      <c r="D246" s="18">
        <f>STT!D53</f>
        <v>2.5</v>
      </c>
      <c r="E246" s="31">
        <f>STT!E53</f>
        <v>144</v>
      </c>
      <c r="F246" s="16" t="str">
        <f>STT!F53</f>
        <v>A2</v>
      </c>
      <c r="G246" s="58">
        <f>STT!G53</f>
        <v>0.39</v>
      </c>
      <c r="H246" s="53">
        <f>STT!H53</f>
        <v>0.41</v>
      </c>
      <c r="I246" s="16">
        <f>STT!I53</f>
        <v>102</v>
      </c>
      <c r="J246" s="16">
        <f>STT!J53</f>
        <v>68</v>
      </c>
      <c r="K246" s="18">
        <f>STT!K53</f>
        <v>55</v>
      </c>
      <c r="L246" s="25">
        <f>STT!L53</f>
        <v>130.33333333333334</v>
      </c>
      <c r="M246" s="36" t="str">
        <f>STT!M53</f>
        <v>.16-05</v>
      </c>
      <c r="N246" s="25">
        <f>STT!N53</f>
        <v>260</v>
      </c>
      <c r="O246" s="73" t="str">
        <f>STT!O53</f>
        <v>.15-04</v>
      </c>
      <c r="P246" s="25">
        <f>STT!P53</f>
        <v>130</v>
      </c>
      <c r="Q246" s="36" t="str">
        <f>STT!Q53</f>
        <v>.15-04</v>
      </c>
      <c r="R246" s="31" t="str">
        <f>STT!R53</f>
        <v>ado</v>
      </c>
      <c r="S246" s="25">
        <f>STT!S53</f>
        <v>225</v>
      </c>
      <c r="T246" s="36" t="str">
        <f>STT!T53</f>
        <v>.14-08</v>
      </c>
      <c r="U246" s="31" t="str">
        <f>STT!U53</f>
        <v>v.v</v>
      </c>
    </row>
    <row r="247" spans="1:21">
      <c r="A247" s="143" t="str">
        <f>STT!A89</f>
        <v>Tokina</v>
      </c>
      <c r="B247" s="11" t="str">
        <f>STT!B89</f>
        <v>AT-X 90/2.5 Macro</v>
      </c>
      <c r="C247" s="16">
        <f>STT!C89</f>
        <v>90</v>
      </c>
      <c r="D247" s="18">
        <f>STT!D89</f>
        <v>2.5</v>
      </c>
      <c r="E247" s="31">
        <f>STT!E89</f>
        <v>144</v>
      </c>
      <c r="F247" s="16" t="str">
        <f>STT!F89</f>
        <v>x</v>
      </c>
      <c r="G247" s="58">
        <f>STT!G89</f>
        <v>0.4</v>
      </c>
      <c r="H247" s="53">
        <f>STT!H89</f>
        <v>0.53</v>
      </c>
      <c r="I247" s="16">
        <f>STT!I89</f>
        <v>64</v>
      </c>
      <c r="J247" s="16">
        <f>STT!J89</f>
        <v>80</v>
      </c>
      <c r="K247" s="18">
        <f>STT!K89</f>
        <v>55</v>
      </c>
      <c r="L247" s="25">
        <f>STT!L89</f>
        <v>319.45454545454544</v>
      </c>
      <c r="M247" s="36" t="str">
        <f>STT!M89</f>
        <v>.16-05</v>
      </c>
      <c r="N247" s="25">
        <f>STT!N89</f>
        <v>455.125</v>
      </c>
      <c r="O247" s="73" t="str">
        <f>STT!O89</f>
        <v>.16-03</v>
      </c>
      <c r="P247" s="25" t="str">
        <f>STT!P89</f>
        <v xml:space="preserve"> </v>
      </c>
      <c r="Q247" s="36" t="str">
        <f>STT!Q89</f>
        <v xml:space="preserve"> </v>
      </c>
      <c r="R247" s="31" t="str">
        <f>STT!R89</f>
        <v xml:space="preserve"> </v>
      </c>
      <c r="S247" s="25" t="str">
        <f>STT!S89</f>
        <v xml:space="preserve"> </v>
      </c>
      <c r="T247" s="36" t="str">
        <f>STT!T89</f>
        <v xml:space="preserve"> </v>
      </c>
      <c r="U247" s="31" t="str">
        <f>STT!U89</f>
        <v xml:space="preserve"> </v>
      </c>
    </row>
    <row r="248" spans="1:21">
      <c r="A248" s="143" t="str">
        <f>EFp!A38</f>
        <v>Canon</v>
      </c>
      <c r="B248" s="11" t="str">
        <f>EFp!B38</f>
        <v xml:space="preserve">TS-E 90/2.8 </v>
      </c>
      <c r="C248" s="16">
        <f>EFp!C38</f>
        <v>90</v>
      </c>
      <c r="D248" s="18">
        <f>EFp!D38</f>
        <v>2.8</v>
      </c>
      <c r="E248" s="31">
        <f>EFp!E38</f>
        <v>144</v>
      </c>
      <c r="F248" s="16" t="str">
        <f>EFp!F38</f>
        <v>EFm</v>
      </c>
      <c r="G248" s="58">
        <f>EFp!G38</f>
        <v>0.4</v>
      </c>
      <c r="H248" s="53">
        <f>EFp!H38</f>
        <v>0.56499999999999995</v>
      </c>
      <c r="I248" s="16">
        <f>EFp!I38</f>
        <v>88</v>
      </c>
      <c r="J248" s="16">
        <f>EFp!J38</f>
        <v>73.599999999999994</v>
      </c>
      <c r="K248" s="18">
        <f>EFp!K38</f>
        <v>58</v>
      </c>
      <c r="L248" s="25">
        <f>EFp!L38</f>
        <v>698.91666666666663</v>
      </c>
      <c r="M248" s="36" t="str">
        <f>EFp!M38</f>
        <v>.16-05</v>
      </c>
      <c r="N248" s="25">
        <f>EFp!N38</f>
        <v>907.5</v>
      </c>
      <c r="O248" s="73" t="str">
        <f>EFp!O38</f>
        <v>.16-05</v>
      </c>
      <c r="P248" s="25">
        <f>EFp!P38</f>
        <v>980</v>
      </c>
      <c r="Q248" s="36" t="str">
        <f>EFp!Q38</f>
        <v>.16-01</v>
      </c>
      <c r="R248" s="31" t="str">
        <f>EFp!R38</f>
        <v>b&amp;h</v>
      </c>
      <c r="S248" s="25">
        <f>EFp!S38</f>
        <v>984.2</v>
      </c>
      <c r="T248" s="36" t="str">
        <f>EFp!T38</f>
        <v>.16-05</v>
      </c>
      <c r="U248" s="31" t="str">
        <f>EFp!U38</f>
        <v>d'town</v>
      </c>
    </row>
    <row r="249" spans="1:21">
      <c r="A249" s="143" t="str">
        <f>STT!A54</f>
        <v>Tamron</v>
      </c>
      <c r="B249" s="11" t="str">
        <f>STT!B54</f>
        <v>SP 90/2.8 Di Macro 1:1</v>
      </c>
      <c r="C249" s="16">
        <f>STT!C54</f>
        <v>90</v>
      </c>
      <c r="D249" s="18">
        <f>STT!D54</f>
        <v>2.8</v>
      </c>
      <c r="E249" s="31">
        <f>STT!E54</f>
        <v>144</v>
      </c>
      <c r="F249" s="16" t="str">
        <f>STT!F54</f>
        <v>EF</v>
      </c>
      <c r="G249" s="58">
        <f>STT!G54</f>
        <v>0.28999999999999998</v>
      </c>
      <c r="H249" s="53">
        <f>STT!H54</f>
        <v>0.4</v>
      </c>
      <c r="I249" s="16">
        <f>STT!I54</f>
        <v>97</v>
      </c>
      <c r="J249" s="16">
        <f>STT!J54</f>
        <v>71</v>
      </c>
      <c r="K249" s="18">
        <f>STT!K54</f>
        <v>55</v>
      </c>
      <c r="L249" s="25">
        <f>STT!L54</f>
        <v>179</v>
      </c>
      <c r="M249" s="36" t="str">
        <f>STT!M54</f>
        <v>.16-05</v>
      </c>
      <c r="N249" s="25">
        <f>STT!N54</f>
        <v>344.42857142857144</v>
      </c>
      <c r="O249" s="73" t="str">
        <f>STT!O54</f>
        <v>.16-01</v>
      </c>
      <c r="P249" s="25">
        <f>STT!P54</f>
        <v>151.24</v>
      </c>
      <c r="Q249" s="36" t="str">
        <f>STT!Q54</f>
        <v>.15-10</v>
      </c>
      <c r="R249" s="31" t="str">
        <f>STT!R54</f>
        <v>ctc</v>
      </c>
      <c r="S249" s="25">
        <f>STT!S54</f>
        <v>450</v>
      </c>
      <c r="T249" s="36" t="str">
        <f>STT!T54</f>
        <v>.16-01</v>
      </c>
      <c r="U249" s="31" t="str">
        <f>STT!U54</f>
        <v>camW</v>
      </c>
    </row>
    <row r="250" spans="1:21">
      <c r="A250" s="143" t="str">
        <f>STT!A55</f>
        <v>Tamron</v>
      </c>
      <c r="B250" s="11" t="str">
        <f>STT!B55</f>
        <v>SP 90/2.8 Di VC Macro 1:1</v>
      </c>
      <c r="C250" s="16">
        <f>STT!C55</f>
        <v>90</v>
      </c>
      <c r="D250" s="18">
        <f>STT!D55</f>
        <v>2.8</v>
      </c>
      <c r="E250" s="31">
        <f>STT!E55</f>
        <v>144</v>
      </c>
      <c r="F250" s="16" t="str">
        <f>STT!F55</f>
        <v>EF</v>
      </c>
      <c r="G250" s="58">
        <f>STT!G55</f>
        <v>0.3</v>
      </c>
      <c r="H250" s="53">
        <f>STT!H55</f>
        <v>0.55000000000000004</v>
      </c>
      <c r="I250" s="16">
        <f>STT!I55</f>
        <v>114.5</v>
      </c>
      <c r="J250" s="16">
        <f>STT!J55</f>
        <v>76.400000000000006</v>
      </c>
      <c r="K250" s="18">
        <f>STT!K55</f>
        <v>58</v>
      </c>
      <c r="L250" s="25">
        <f>STT!L55</f>
        <v>343.66666666666669</v>
      </c>
      <c r="M250" s="36" t="str">
        <f>STT!M55</f>
        <v>.16-01</v>
      </c>
      <c r="N250" s="25">
        <f>STT!N55</f>
        <v>427.5</v>
      </c>
      <c r="O250" s="73" t="str">
        <f>STT!O55</f>
        <v>.16-01</v>
      </c>
      <c r="P250" s="25">
        <f>STT!P55</f>
        <v>525</v>
      </c>
      <c r="Q250" s="36" t="str">
        <f>STT!Q55</f>
        <v>.15-11</v>
      </c>
      <c r="R250" s="31" t="str">
        <f>STT!R55</f>
        <v>ado</v>
      </c>
      <c r="S250" s="25">
        <f>STT!S55</f>
        <v>750</v>
      </c>
      <c r="T250" s="36" t="str">
        <f>STT!T55</f>
        <v>.15-11</v>
      </c>
      <c r="U250" s="31" t="str">
        <f>STT!U55</f>
        <v>b&amp;h</v>
      </c>
    </row>
    <row r="251" spans="1:21">
      <c r="A251" s="143" t="str">
        <f>STT!A56</f>
        <v>Tamron</v>
      </c>
      <c r="B251" s="11" t="str">
        <f>STT!B56</f>
        <v>SP 90/2.8 Di VC USD Macro 1:1</v>
      </c>
      <c r="C251" s="16">
        <f>STT!C56</f>
        <v>90</v>
      </c>
      <c r="D251" s="18">
        <f>STT!D56</f>
        <v>2.8</v>
      </c>
      <c r="E251" s="31">
        <f>STT!E56</f>
        <v>144</v>
      </c>
      <c r="F251" s="16" t="str">
        <f>STT!F56</f>
        <v>EF</v>
      </c>
      <c r="G251" s="58">
        <f>STT!G56</f>
        <v>0.3</v>
      </c>
      <c r="H251" s="53">
        <f>STT!H56</f>
        <v>0.6</v>
      </c>
      <c r="I251" s="16">
        <f>STT!I56</f>
        <v>117</v>
      </c>
      <c r="J251" s="16">
        <f>STT!J56</f>
        <v>79</v>
      </c>
      <c r="K251" s="18">
        <f>STT!K56</f>
        <v>62</v>
      </c>
      <c r="L251" s="25">
        <f>STT!L56</f>
        <v>343.66666666666669</v>
      </c>
      <c r="M251" s="36" t="str">
        <f>STT!M56</f>
        <v>.16-01</v>
      </c>
      <c r="N251" s="25">
        <f>STT!N56</f>
        <v>427.5</v>
      </c>
      <c r="O251" s="73" t="str">
        <f>STT!O56</f>
        <v>.16-01</v>
      </c>
      <c r="P251" s="25">
        <f>STT!P56</f>
        <v>525</v>
      </c>
      <c r="Q251" s="36" t="str">
        <f>STT!Q56</f>
        <v>.15-11</v>
      </c>
      <c r="R251" s="31" t="str">
        <f>STT!R56</f>
        <v>ado</v>
      </c>
      <c r="S251" s="25">
        <f>STT!S56</f>
        <v>750</v>
      </c>
      <c r="T251" s="36" t="str">
        <f>STT!T56</f>
        <v>.15-11</v>
      </c>
      <c r="U251" s="31" t="str">
        <f>STT!U56</f>
        <v>b&amp;h</v>
      </c>
    </row>
    <row r="252" spans="1:21">
      <c r="A252" s="143" t="str">
        <f>LNOP!A27</f>
        <v>Leica</v>
      </c>
      <c r="B252" s="11" t="str">
        <f>LNOP!B27</f>
        <v>Elmarit R 90/2.8 E55</v>
      </c>
      <c r="C252" s="16">
        <f>LNOP!C27</f>
        <v>90</v>
      </c>
      <c r="D252" s="18">
        <f>LNOP!D27</f>
        <v>2.8</v>
      </c>
      <c r="E252" s="31">
        <f>LNOP!E27</f>
        <v>144</v>
      </c>
      <c r="F252" s="16" t="str">
        <f>LNOP!F27</f>
        <v>LR</v>
      </c>
      <c r="G252" s="58">
        <f>LNOP!G27</f>
        <v>0.7</v>
      </c>
      <c r="H252" s="53">
        <f>LNOP!H27</f>
        <v>0.45</v>
      </c>
      <c r="I252" s="16">
        <f>LNOP!I27</f>
        <v>57</v>
      </c>
      <c r="J252" s="16">
        <f>LNOP!J27</f>
        <v>67</v>
      </c>
      <c r="K252" s="18">
        <f>LNOP!K27</f>
        <v>55</v>
      </c>
      <c r="L252" s="25">
        <f>LNOP!L27</f>
        <v>393</v>
      </c>
      <c r="M252" s="36" t="str">
        <f>LNOP!M27</f>
        <v>.16-05</v>
      </c>
      <c r="N252" s="25">
        <f>LNOP!N27</f>
        <v>574.81818181818187</v>
      </c>
      <c r="O252" s="73" t="str">
        <f>LNOP!O27</f>
        <v>.16-05</v>
      </c>
      <c r="P252" s="25">
        <f>LNOP!P27</f>
        <v>465</v>
      </c>
      <c r="Q252" s="36" t="str">
        <f>LNOP!Q27</f>
        <v>.15-04</v>
      </c>
      <c r="R252" s="31" t="str">
        <f>LNOP!R27</f>
        <v>igor</v>
      </c>
      <c r="S252" s="25">
        <f>LNOP!S27</f>
        <v>685</v>
      </c>
      <c r="T252" s="36" t="str">
        <f>LNOP!T27</f>
        <v>.16-01</v>
      </c>
      <c r="U252" s="31" t="str">
        <f>LNOP!U27</f>
        <v>L-shop</v>
      </c>
    </row>
    <row r="253" spans="1:21">
      <c r="A253" s="143" t="str">
        <f>CZ.V!A107</f>
        <v>Voigtlander</v>
      </c>
      <c r="B253" s="11" t="str">
        <f>CZ.V!B107</f>
        <v>90/3.5 Apo-Lanthar CF SL</v>
      </c>
      <c r="C253" s="16">
        <f>CZ.V!C107</f>
        <v>90</v>
      </c>
      <c r="D253" s="18">
        <f>CZ.V!D107</f>
        <v>3.5</v>
      </c>
      <c r="E253" s="31">
        <f>CZ.V!E107</f>
        <v>144</v>
      </c>
      <c r="F253" s="16" t="str">
        <f>CZ.V!F107</f>
        <v>x</v>
      </c>
      <c r="G253" s="58">
        <f>CZ.V!G107</f>
        <v>0.5</v>
      </c>
      <c r="H253" s="53">
        <f>CZ.V!H107</f>
        <v>0.39</v>
      </c>
      <c r="I253" s="16">
        <f>CZ.V!I107</f>
        <v>57.6</v>
      </c>
      <c r="J253" s="16">
        <f>CZ.V!J107</f>
        <v>63.5</v>
      </c>
      <c r="K253" s="18">
        <f>CZ.V!K107</f>
        <v>49</v>
      </c>
      <c r="L253" s="25">
        <f>CZ.V!L107</f>
        <v>352.14285714285717</v>
      </c>
      <c r="M253" s="36" t="str">
        <f>CZ.V!M107</f>
        <v>.16-03</v>
      </c>
      <c r="N253" s="25">
        <f>CZ.V!N107</f>
        <v>469.07249999999999</v>
      </c>
      <c r="O253" s="73" t="str">
        <f>CZ.V!O107</f>
        <v>.16-05</v>
      </c>
      <c r="P253" s="25" t="str">
        <f>CZ.V!P107</f>
        <v>265</v>
      </c>
      <c r="Q253" s="36" t="str">
        <f>CZ.V!Q107</f>
        <v>.09-12</v>
      </c>
      <c r="R253" s="31" t="str">
        <f>CZ.V!R107</f>
        <v>jack's</v>
      </c>
      <c r="S253" s="25" t="str">
        <f>CZ.V!S107</f>
        <v>`</v>
      </c>
      <c r="T253" s="36" t="str">
        <f>CZ.V!T107</f>
        <v xml:space="preserve"> </v>
      </c>
      <c r="U253" s="31" t="str">
        <f>CZ.V!U107</f>
        <v xml:space="preserve"> </v>
      </c>
    </row>
    <row r="254" spans="1:21">
      <c r="A254" s="144" t="str">
        <f>CZ.V!A114</f>
        <v>Schneider</v>
      </c>
      <c r="B254" s="22" t="str">
        <f>CZ.V!B114</f>
        <v>PC TS Makro-Symmar 90/4.5</v>
      </c>
      <c r="C254" s="27">
        <f>CZ.V!C114</f>
        <v>90</v>
      </c>
      <c r="D254" s="41">
        <f>CZ.V!D114</f>
        <v>4.5</v>
      </c>
      <c r="E254" s="33">
        <f>CZ.V!E114</f>
        <v>144</v>
      </c>
      <c r="F254" s="27" t="str">
        <f>CZ.V!F114</f>
        <v>EFx</v>
      </c>
      <c r="G254" s="55">
        <f>CZ.V!G114</f>
        <v>0.56999999999999995</v>
      </c>
      <c r="H254" s="56">
        <f>CZ.V!H114</f>
        <v>1.1100000000000001</v>
      </c>
      <c r="I254" s="27">
        <f>CZ.V!I114</f>
        <v>138.80000000000001</v>
      </c>
      <c r="J254" s="27">
        <f>CZ.V!J114</f>
        <v>108</v>
      </c>
      <c r="K254" s="41" t="str">
        <f>CZ.V!K114</f>
        <v xml:space="preserve"> </v>
      </c>
      <c r="L254" s="26">
        <f>CZ.V!L114</f>
        <v>0</v>
      </c>
      <c r="M254" s="24" t="str">
        <f>CZ.V!M114</f>
        <v xml:space="preserve"> </v>
      </c>
      <c r="N254" s="26">
        <f>CZ.V!N114</f>
        <v>2000</v>
      </c>
      <c r="O254" s="124" t="str">
        <f>CZ.V!O114</f>
        <v>.14-08</v>
      </c>
      <c r="P254" s="26" t="str">
        <f>CZ.V!P114</f>
        <v xml:space="preserve"> </v>
      </c>
      <c r="Q254" s="24" t="str">
        <f>CZ.V!Q114</f>
        <v xml:space="preserve"> </v>
      </c>
      <c r="R254" s="33" t="str">
        <f>CZ.V!R114</f>
        <v xml:space="preserve"> </v>
      </c>
      <c r="S254" s="26">
        <f>CZ.V!S114</f>
        <v>2795</v>
      </c>
      <c r="T254" s="24" t="str">
        <f>CZ.V!T114</f>
        <v>.16-01</v>
      </c>
      <c r="U254" s="33" t="str">
        <f>CZ.V!U114</f>
        <v>b&amp;h</v>
      </c>
    </row>
    <row r="255" spans="1:21">
      <c r="A255" s="143" t="str">
        <f>LNOP!A177</f>
        <v>Komura</v>
      </c>
      <c r="B255" s="11" t="str">
        <f>LNOP!B177</f>
        <v>100/1.8</v>
      </c>
      <c r="C255" s="16">
        <f>LNOP!C177</f>
        <v>100</v>
      </c>
      <c r="D255" s="18">
        <f>LNOP!D177</f>
        <v>1.8</v>
      </c>
      <c r="E255" s="31">
        <f>LNOP!E177</f>
        <v>160</v>
      </c>
      <c r="F255" s="16" t="str">
        <f>LNOP!F177</f>
        <v>x</v>
      </c>
      <c r="G255" s="58">
        <f>LNOP!G177</f>
        <v>1.4</v>
      </c>
      <c r="H255" s="53">
        <f>LNOP!H177</f>
        <v>0.39700000000000002</v>
      </c>
      <c r="I255" s="16">
        <f>LNOP!I177</f>
        <v>78</v>
      </c>
      <c r="J255" s="16" t="str">
        <f>LNOP!J177</f>
        <v xml:space="preserve"> </v>
      </c>
      <c r="K255" s="18">
        <f>LNOP!K177</f>
        <v>62</v>
      </c>
      <c r="L255" s="25">
        <f>LNOP!L177</f>
        <v>309</v>
      </c>
      <c r="M255" s="36" t="str">
        <f>LNOP!M177</f>
        <v>.16-01</v>
      </c>
      <c r="N255" s="25">
        <f>LNOP!N177</f>
        <v>665</v>
      </c>
      <c r="O255" s="73" t="str">
        <f>LNOP!O177</f>
        <v>.15-12</v>
      </c>
      <c r="P255" s="25" t="str">
        <f>LNOP!P177</f>
        <v xml:space="preserve"> </v>
      </c>
      <c r="Q255" s="36" t="str">
        <f>LNOP!Q177</f>
        <v xml:space="preserve"> </v>
      </c>
      <c r="R255" s="31" t="str">
        <f>LNOP!R177</f>
        <v xml:space="preserve"> </v>
      </c>
      <c r="S255" s="25" t="str">
        <f>LNOP!S177</f>
        <v xml:space="preserve"> </v>
      </c>
      <c r="T255" s="36" t="str">
        <f>LNOP!T177</f>
        <v xml:space="preserve"> </v>
      </c>
      <c r="U255" s="31" t="str">
        <f>LNOP!U177</f>
        <v xml:space="preserve"> </v>
      </c>
    </row>
    <row r="256" spans="1:21">
      <c r="A256" s="143" t="str">
        <f>EFp!A39</f>
        <v>Canon</v>
      </c>
      <c r="B256" s="11" t="str">
        <f>EFp!B39</f>
        <v xml:space="preserve">EF 100/2.0 USM </v>
      </c>
      <c r="C256" s="16">
        <f>EFp!C39</f>
        <v>100</v>
      </c>
      <c r="D256" s="18">
        <f>EFp!D39</f>
        <v>2</v>
      </c>
      <c r="E256" s="31">
        <f>EFp!E39</f>
        <v>160</v>
      </c>
      <c r="F256" s="16" t="str">
        <f>EFp!F39</f>
        <v>EF</v>
      </c>
      <c r="G256" s="58">
        <f>EFp!G39</f>
        <v>0.9</v>
      </c>
      <c r="H256" s="53">
        <f>EFp!H39</f>
        <v>0.46</v>
      </c>
      <c r="I256" s="16">
        <f>EFp!I39</f>
        <v>73.5</v>
      </c>
      <c r="J256" s="16">
        <f>EFp!J39</f>
        <v>75</v>
      </c>
      <c r="K256" s="18">
        <f>EFp!K39</f>
        <v>58</v>
      </c>
      <c r="L256" s="25">
        <f>EFp!L39</f>
        <v>264.08333333333331</v>
      </c>
      <c r="M256" s="36" t="str">
        <f>EFp!M39</f>
        <v>.16-05</v>
      </c>
      <c r="N256" s="25">
        <f>EFp!N39</f>
        <v>324</v>
      </c>
      <c r="O256" s="73" t="str">
        <f>EFp!O39</f>
        <v>.16-05</v>
      </c>
      <c r="P256" s="25">
        <f>EFp!P39</f>
        <v>340</v>
      </c>
      <c r="Q256" s="36" t="str">
        <f>EFp!Q39</f>
        <v>.16-01</v>
      </c>
      <c r="R256" s="31" t="str">
        <f>EFp!R39</f>
        <v>LA</v>
      </c>
      <c r="S256" s="25">
        <f>EFp!S39</f>
        <v>325</v>
      </c>
      <c r="T256" s="36" t="str">
        <f>EFp!T39</f>
        <v>.16-01</v>
      </c>
      <c r="U256" s="31" t="str">
        <f>EFp!U39</f>
        <v>igor</v>
      </c>
    </row>
    <row r="257" spans="1:21">
      <c r="A257" s="143" t="str">
        <f>CZ.V!A12</f>
        <v>Carl Zeiss</v>
      </c>
      <c r="B257" s="11" t="str">
        <f>CZ.V!B12</f>
        <v>Milvus 100/2 M ZE [1:2]</v>
      </c>
      <c r="C257" s="16">
        <f>CZ.V!C12</f>
        <v>100</v>
      </c>
      <c r="D257" s="18">
        <f>CZ.V!D12</f>
        <v>2</v>
      </c>
      <c r="E257" s="31">
        <f>CZ.V!E12</f>
        <v>160</v>
      </c>
      <c r="F257" s="16" t="str">
        <f>CZ.V!F12</f>
        <v>ZE</v>
      </c>
      <c r="G257" s="58">
        <f>CZ.V!G12</f>
        <v>0.44</v>
      </c>
      <c r="H257" s="53">
        <f>CZ.V!H12</f>
        <v>0.84299999999999997</v>
      </c>
      <c r="I257" s="16">
        <f>CZ.V!I12</f>
        <v>104</v>
      </c>
      <c r="J257" s="16">
        <f>CZ.V!J12</f>
        <v>80.5</v>
      </c>
      <c r="K257" s="18">
        <f>CZ.V!K12</f>
        <v>67</v>
      </c>
      <c r="L257" s="25">
        <f>CZ.V!L12</f>
        <v>0</v>
      </c>
      <c r="M257" s="36" t="str">
        <f>CZ.V!M12</f>
        <v xml:space="preserve"> </v>
      </c>
      <c r="N257" s="25">
        <f>CZ.V!N12</f>
        <v>1447</v>
      </c>
      <c r="O257" s="73" t="str">
        <f>CZ.V!O12</f>
        <v>.16-02</v>
      </c>
      <c r="P257" s="25" t="str">
        <f>CZ.V!P12</f>
        <v xml:space="preserve"> </v>
      </c>
      <c r="Q257" s="36" t="str">
        <f>CZ.V!Q12</f>
        <v xml:space="preserve"> </v>
      </c>
      <c r="R257" s="31" t="str">
        <f>CZ.V!R12</f>
        <v xml:space="preserve"> </v>
      </c>
      <c r="S257" s="25">
        <f>CZ.V!S12</f>
        <v>1843</v>
      </c>
      <c r="T257" s="36" t="str">
        <f>CZ.V!T12</f>
        <v>.15-09</v>
      </c>
      <c r="U257" s="31" t="str">
        <f>CZ.V!U12</f>
        <v>b&amp;h</v>
      </c>
    </row>
    <row r="258" spans="1:21">
      <c r="A258" s="143" t="str">
        <f>CZ.V!A28</f>
        <v>Carl Zeiss</v>
      </c>
      <c r="B258" s="11" t="str">
        <f>CZ.V!B28</f>
        <v>Makro-Planar T* 100/2 ZE [1:2]</v>
      </c>
      <c r="C258" s="16">
        <f>CZ.V!C28</f>
        <v>100</v>
      </c>
      <c r="D258" s="18">
        <f>CZ.V!D28</f>
        <v>2</v>
      </c>
      <c r="E258" s="31">
        <f>CZ.V!E28</f>
        <v>160</v>
      </c>
      <c r="F258" s="16" t="str">
        <f>CZ.V!F28</f>
        <v>ZE</v>
      </c>
      <c r="G258" s="58">
        <f>CZ.V!G28</f>
        <v>0.44</v>
      </c>
      <c r="H258" s="53">
        <f>CZ.V!H28</f>
        <v>0.68</v>
      </c>
      <c r="I258" s="16">
        <f>CZ.V!I28</f>
        <v>91</v>
      </c>
      <c r="J258" s="16">
        <f>CZ.V!J28</f>
        <v>76</v>
      </c>
      <c r="K258" s="18">
        <f>CZ.V!K28</f>
        <v>67</v>
      </c>
      <c r="L258" s="25">
        <f>CZ.V!L28</f>
        <v>1038.3846153846155</v>
      </c>
      <c r="M258" s="36" t="str">
        <f>CZ.V!M28</f>
        <v>.16-05</v>
      </c>
      <c r="N258" s="25">
        <f>CZ.V!N28</f>
        <v>1318.5</v>
      </c>
      <c r="O258" s="73" t="str">
        <f>CZ.V!O28</f>
        <v>.16-05</v>
      </c>
      <c r="P258" s="25">
        <f>CZ.V!P28</f>
        <v>1260</v>
      </c>
      <c r="Q258" s="36" t="str">
        <f>CZ.V!Q28</f>
        <v>.16-05</v>
      </c>
      <c r="R258" s="31" t="str">
        <f>CZ.V!R28</f>
        <v>keh</v>
      </c>
      <c r="S258" s="25">
        <f>CZ.V!S28</f>
        <v>1300</v>
      </c>
      <c r="T258" s="36" t="str">
        <f>CZ.V!T28</f>
        <v>.16-04</v>
      </c>
      <c r="U258" s="31" t="str">
        <f>CZ.V!U28</f>
        <v>keh</v>
      </c>
    </row>
    <row r="259" spans="1:21">
      <c r="A259" s="143" t="str">
        <f>CZ.V!A52</f>
        <v>Carl Zeiss</v>
      </c>
      <c r="B259" s="11" t="str">
        <f>CZ.V!B52</f>
        <v>Planar T* 100/2 CY</v>
      </c>
      <c r="C259" s="16">
        <f>CZ.V!C52</f>
        <v>100</v>
      </c>
      <c r="D259" s="18">
        <f>CZ.V!D52</f>
        <v>2</v>
      </c>
      <c r="E259" s="31">
        <f>CZ.V!E52</f>
        <v>160</v>
      </c>
      <c r="F259" s="16" t="str">
        <f>CZ.V!F52</f>
        <v>CY</v>
      </c>
      <c r="G259" s="58">
        <f>CZ.V!G52</f>
        <v>1</v>
      </c>
      <c r="H259" s="53">
        <f>CZ.V!H52</f>
        <v>0.67</v>
      </c>
      <c r="I259" s="16">
        <f>CZ.V!I52</f>
        <v>84</v>
      </c>
      <c r="J259" s="16">
        <f>CZ.V!J52</f>
        <v>70</v>
      </c>
      <c r="K259" s="18">
        <f>CZ.V!K52</f>
        <v>67</v>
      </c>
      <c r="L259" s="25">
        <f>CZ.V!L52</f>
        <v>731.81818181818187</v>
      </c>
      <c r="M259" s="36" t="str">
        <f>CZ.V!M52</f>
        <v>.16-05</v>
      </c>
      <c r="N259" s="25">
        <f>CZ.V!N52</f>
        <v>1090.6363636363637</v>
      </c>
      <c r="O259" s="73" t="str">
        <f>CZ.V!O52</f>
        <v>.15-04</v>
      </c>
      <c r="P259" s="25">
        <f>CZ.V!P52</f>
        <v>1220</v>
      </c>
      <c r="Q259" s="36" t="str">
        <f>CZ.V!Q52</f>
        <v>.16-05</v>
      </c>
      <c r="R259" s="31" t="str">
        <f>CZ.V!R52</f>
        <v>keh</v>
      </c>
      <c r="S259" s="25">
        <f>CZ.V!S52</f>
        <v>1430</v>
      </c>
      <c r="T259" s="36" t="str">
        <f>CZ.V!T52</f>
        <v>.16-05</v>
      </c>
      <c r="U259" s="31" t="str">
        <f>CZ.V!U52</f>
        <v>keh</v>
      </c>
    </row>
    <row r="260" spans="1:21">
      <c r="A260" s="143" t="str">
        <f>LNOP!A86</f>
        <v>Olympus</v>
      </c>
      <c r="B260" s="11" t="str">
        <f>LNOP!B86</f>
        <v>Zuiko 100/2 Auto-T (ED)</v>
      </c>
      <c r="C260" s="16">
        <f>LNOP!C86</f>
        <v>100</v>
      </c>
      <c r="D260" s="18">
        <f>LNOP!D86</f>
        <v>2</v>
      </c>
      <c r="E260" s="31">
        <f>LNOP!E86</f>
        <v>160</v>
      </c>
      <c r="F260" s="16" t="str">
        <f>LNOP!F86</f>
        <v>OM</v>
      </c>
      <c r="G260" s="58">
        <f>LNOP!G86</f>
        <v>0.7</v>
      </c>
      <c r="H260" s="53">
        <f>LNOP!H86</f>
        <v>0.52</v>
      </c>
      <c r="I260" s="16">
        <f>LNOP!I86</f>
        <v>72</v>
      </c>
      <c r="J260" s="16">
        <f>LNOP!J86</f>
        <v>70</v>
      </c>
      <c r="K260" s="18">
        <f>LNOP!K86</f>
        <v>55</v>
      </c>
      <c r="L260" s="25">
        <f>LNOP!L86</f>
        <v>580.625</v>
      </c>
      <c r="M260" s="36" t="str">
        <f>LNOP!M86</f>
        <v>.16-05</v>
      </c>
      <c r="N260" s="25">
        <f>LNOP!N86</f>
        <v>955.375</v>
      </c>
      <c r="O260" s="73" t="str">
        <f>LNOP!O86</f>
        <v>.16-04</v>
      </c>
      <c r="P260" s="25">
        <f>LNOP!P86</f>
        <v>675.64</v>
      </c>
      <c r="Q260" s="36" t="str">
        <f>LNOP!Q86</f>
        <v>.16-03</v>
      </c>
      <c r="R260" s="31" t="str">
        <f>LNOP!R86</f>
        <v>ctc</v>
      </c>
      <c r="S260" s="25" t="str">
        <f>LNOP!S86</f>
        <v xml:space="preserve"> </v>
      </c>
      <c r="T260" s="36" t="str">
        <f>LNOP!T86</f>
        <v xml:space="preserve"> </v>
      </c>
      <c r="U260" s="31" t="str">
        <f>LNOP!U86</f>
        <v xml:space="preserve"> </v>
      </c>
    </row>
    <row r="261" spans="1:21">
      <c r="A261" s="143" t="str">
        <f>EFp!A40</f>
        <v>Canon</v>
      </c>
      <c r="B261" s="11" t="str">
        <f>EFp!B40</f>
        <v xml:space="preserve">EF 100/2.8 Macro </v>
      </c>
      <c r="C261" s="16">
        <f>EFp!C40</f>
        <v>100</v>
      </c>
      <c r="D261" s="18">
        <f>EFp!D40</f>
        <v>2.8</v>
      </c>
      <c r="E261" s="31">
        <f>EFp!E40</f>
        <v>160</v>
      </c>
      <c r="F261" s="16" t="str">
        <f>EFp!F40</f>
        <v>EF</v>
      </c>
      <c r="G261" s="58">
        <f>EFp!G40</f>
        <v>0.31</v>
      </c>
      <c r="H261" s="53">
        <f>EFp!H40</f>
        <v>0.6</v>
      </c>
      <c r="I261" s="16">
        <f>EFp!I40</f>
        <v>119</v>
      </c>
      <c r="J261" s="16">
        <f>EFp!J40</f>
        <v>79</v>
      </c>
      <c r="K261" s="18">
        <f>EFp!K40</f>
        <v>58</v>
      </c>
      <c r="L261" s="25">
        <f>EFp!L40</f>
        <v>205.33333333333334</v>
      </c>
      <c r="M261" s="36" t="str">
        <f>EFp!M40</f>
        <v>.16-05</v>
      </c>
      <c r="N261" s="25">
        <f>EFp!N40</f>
        <v>283</v>
      </c>
      <c r="O261" s="73" t="str">
        <f>EFp!O40</f>
        <v>.16-05</v>
      </c>
      <c r="P261" s="25">
        <f>EFp!P40</f>
        <v>367</v>
      </c>
      <c r="Q261" s="36" t="str">
        <f>EFp!Q40</f>
        <v>.16-01</v>
      </c>
      <c r="R261" s="31" t="str">
        <f>EFp!R40</f>
        <v>b&amp;h</v>
      </c>
      <c r="S261" s="25">
        <f>EFp!S40</f>
        <v>395</v>
      </c>
      <c r="T261" s="36" t="str">
        <f>EFp!T40</f>
        <v>.14-03</v>
      </c>
      <c r="U261" s="31" t="str">
        <f>EFp!U40</f>
        <v>camW</v>
      </c>
    </row>
    <row r="262" spans="1:21">
      <c r="A262" s="143" t="str">
        <f>EFp!A41</f>
        <v>Canon</v>
      </c>
      <c r="B262" s="11" t="str">
        <f>EFp!B41</f>
        <v xml:space="preserve">EF 100/2.8 Macro USM </v>
      </c>
      <c r="C262" s="16">
        <f>EFp!C41</f>
        <v>100</v>
      </c>
      <c r="D262" s="18">
        <f>EFp!D41</f>
        <v>2.8</v>
      </c>
      <c r="E262" s="31">
        <f>EFp!E41</f>
        <v>160</v>
      </c>
      <c r="F262" s="16" t="str">
        <f>EFp!F41</f>
        <v>EF</v>
      </c>
      <c r="G262" s="58">
        <f>EFp!G41</f>
        <v>0.31</v>
      </c>
      <c r="H262" s="53">
        <f>EFp!H41</f>
        <v>0.6</v>
      </c>
      <c r="I262" s="16">
        <f>EFp!I41</f>
        <v>119</v>
      </c>
      <c r="J262" s="16">
        <f>EFp!J41</f>
        <v>79</v>
      </c>
      <c r="K262" s="18">
        <f>EFp!K41</f>
        <v>58</v>
      </c>
      <c r="L262" s="25">
        <f>EFp!L41</f>
        <v>269.22222222222223</v>
      </c>
      <c r="M262" s="36" t="str">
        <f>EFp!M41</f>
        <v>.16-05</v>
      </c>
      <c r="N262" s="25">
        <f>EFp!N41</f>
        <v>336.1</v>
      </c>
      <c r="O262" s="73" t="str">
        <f>EFp!O41</f>
        <v>.16-05</v>
      </c>
      <c r="P262" s="25">
        <f>EFp!P41</f>
        <v>367</v>
      </c>
      <c r="Q262" s="36" t="str">
        <f>EFp!Q41</f>
        <v>.16-01</v>
      </c>
      <c r="R262" s="31" t="str">
        <f>EFp!R41</f>
        <v>keh</v>
      </c>
      <c r="S262" s="25">
        <f>EFp!S41</f>
        <v>420</v>
      </c>
      <c r="T262" s="36" t="str">
        <f>EFp!T41</f>
        <v>.16-01</v>
      </c>
      <c r="U262" s="31" t="str">
        <f>EFp!U41</f>
        <v>keh</v>
      </c>
    </row>
    <row r="263" spans="1:21">
      <c r="A263" s="143" t="str">
        <f>EFp!A42</f>
        <v>Canon</v>
      </c>
      <c r="B263" s="11" t="str">
        <f>EFp!B42</f>
        <v xml:space="preserve">EF 100/2.8 L IS Macro USM </v>
      </c>
      <c r="C263" s="16">
        <f>EFp!C42</f>
        <v>100</v>
      </c>
      <c r="D263" s="18">
        <f>EFp!D42</f>
        <v>2.8</v>
      </c>
      <c r="E263" s="31">
        <f>EFp!E42</f>
        <v>160</v>
      </c>
      <c r="F263" s="16" t="str">
        <f>EFp!F42</f>
        <v>EF</v>
      </c>
      <c r="G263" s="58">
        <f>EFp!G42</f>
        <v>0.3</v>
      </c>
      <c r="H263" s="53">
        <f>EFp!H42</f>
        <v>0.625</v>
      </c>
      <c r="I263" s="16">
        <f>EFp!I42</f>
        <v>123</v>
      </c>
      <c r="J263" s="16">
        <f>EFp!J42</f>
        <v>77.7</v>
      </c>
      <c r="K263" s="18">
        <f>EFp!K42</f>
        <v>67</v>
      </c>
      <c r="L263" s="25">
        <f>EFp!L42</f>
        <v>607</v>
      </c>
      <c r="M263" s="36" t="str">
        <f>EFp!M42</f>
        <v>.16-05</v>
      </c>
      <c r="N263" s="25">
        <f>EFp!N42</f>
        <v>728.36363636363637</v>
      </c>
      <c r="O263" s="73" t="str">
        <f>EFp!O42</f>
        <v>.16-05</v>
      </c>
      <c r="P263" s="25">
        <f>EFp!P42</f>
        <v>645.24</v>
      </c>
      <c r="Q263" s="36" t="str">
        <f>EFp!Q42</f>
        <v>.16-03</v>
      </c>
      <c r="R263" s="31" t="str">
        <f>EFp!R42</f>
        <v>ctc</v>
      </c>
      <c r="S263" s="25">
        <f>EFp!S42</f>
        <v>729</v>
      </c>
      <c r="T263" s="36" t="str">
        <f>EFp!T42</f>
        <v>.16-01</v>
      </c>
      <c r="U263" s="31" t="str">
        <f>EFp!U42</f>
        <v>keh</v>
      </c>
    </row>
    <row r="264" spans="1:21">
      <c r="A264" s="143" t="str">
        <f>STT!A90</f>
        <v>Tokina</v>
      </c>
      <c r="B264" s="11" t="str">
        <f>STT!B90</f>
        <v>AT-X 100/2.8 Macro</v>
      </c>
      <c r="C264" s="16">
        <f>STT!C90</f>
        <v>100</v>
      </c>
      <c r="D264" s="18">
        <f>STT!D90</f>
        <v>2.8</v>
      </c>
      <c r="E264" s="31">
        <f>STT!E90</f>
        <v>160</v>
      </c>
      <c r="F264" s="16" t="str">
        <f>STT!F90</f>
        <v>EF</v>
      </c>
      <c r="G264" s="58">
        <f>STT!G90</f>
        <v>0.3</v>
      </c>
      <c r="H264" s="53">
        <f>STT!H90</f>
        <v>0.54</v>
      </c>
      <c r="I264" s="16">
        <f>STT!I90</f>
        <v>95</v>
      </c>
      <c r="J264" s="16">
        <f>STT!J90</f>
        <v>73</v>
      </c>
      <c r="K264" s="18">
        <f>STT!K90</f>
        <v>55</v>
      </c>
      <c r="L264" s="25">
        <f>STT!L90</f>
        <v>237.33333333333334</v>
      </c>
      <c r="M264" s="36" t="str">
        <f>STT!M90</f>
        <v>.16-02</v>
      </c>
      <c r="N264" s="25">
        <f>STT!N90</f>
        <v>329.77777777777777</v>
      </c>
      <c r="O264" s="73" t="str">
        <f>STT!O90</f>
        <v>.16-05</v>
      </c>
      <c r="P264" s="25" t="str">
        <f>STT!P90</f>
        <v>325</v>
      </c>
      <c r="Q264" s="36" t="str">
        <f>STT!Q90</f>
        <v>.14-03</v>
      </c>
      <c r="R264" s="31" t="str">
        <f>STT!R90</f>
        <v>keh</v>
      </c>
      <c r="S264" s="25" t="str">
        <f>STT!S90</f>
        <v>340</v>
      </c>
      <c r="T264" s="36" t="str">
        <f>STT!T90</f>
        <v>.14-03</v>
      </c>
      <c r="U264" s="31" t="str">
        <f>STT!U90</f>
        <v>keh</v>
      </c>
    </row>
    <row r="265" spans="1:21">
      <c r="A265" s="143" t="str">
        <f>CZ.V!A53</f>
        <v>Carl Zeiss</v>
      </c>
      <c r="B265" s="11" t="str">
        <f>CZ.V!B53</f>
        <v>Makro-Planar T* 100/2.8 CY [1:1]</v>
      </c>
      <c r="C265" s="16">
        <f>CZ.V!C53</f>
        <v>100</v>
      </c>
      <c r="D265" s="18">
        <f>CZ.V!D53</f>
        <v>2.8</v>
      </c>
      <c r="E265" s="31">
        <f>CZ.V!E53</f>
        <v>160</v>
      </c>
      <c r="F265" s="16" t="str">
        <f>CZ.V!F53</f>
        <v>CY</v>
      </c>
      <c r="G265" s="58">
        <f>CZ.V!G53</f>
        <v>0.45</v>
      </c>
      <c r="H265" s="53">
        <f>CZ.V!H53</f>
        <v>0.74</v>
      </c>
      <c r="I265" s="16">
        <f>CZ.V!I53</f>
        <v>86.8</v>
      </c>
      <c r="J265" s="16">
        <f>CZ.V!J53</f>
        <v>76.400000000000006</v>
      </c>
      <c r="K265" s="18">
        <f>CZ.V!K53</f>
        <v>67</v>
      </c>
      <c r="L265" s="25">
        <f>CZ.V!L53</f>
        <v>594.44444444444446</v>
      </c>
      <c r="M265" s="36" t="str">
        <f>CZ.V!M53</f>
        <v>.16-05</v>
      </c>
      <c r="N265" s="25">
        <f>CZ.V!N53</f>
        <v>924.4</v>
      </c>
      <c r="O265" s="73" t="str">
        <f>CZ.V!O53</f>
        <v>.15-02</v>
      </c>
      <c r="P265" s="25">
        <f>CZ.V!P53</f>
        <v>754</v>
      </c>
      <c r="Q265" s="36" t="str">
        <f>CZ.V!Q53</f>
        <v>.16-05</v>
      </c>
      <c r="R265" s="31" t="str">
        <f>CZ.V!R53</f>
        <v>keh</v>
      </c>
      <c r="S265" s="25">
        <f>CZ.V!S53</f>
        <v>800</v>
      </c>
      <c r="T265" s="36" t="str">
        <f>CZ.V!T53</f>
        <v>.13-04</v>
      </c>
      <c r="U265" s="31" t="str">
        <f>CZ.V!U53</f>
        <v>b&amp;h</v>
      </c>
    </row>
    <row r="266" spans="1:21">
      <c r="A266" s="143" t="str">
        <f>CZ.V!A77</f>
        <v>Carl Zeiss</v>
      </c>
      <c r="B266" s="11" t="str">
        <f>CZ.V!B77</f>
        <v>Makro-Sonnar T* 100/2.8</v>
      </c>
      <c r="C266" s="16">
        <f>CZ.V!C77</f>
        <v>100</v>
      </c>
      <c r="D266" s="18">
        <f>CZ.V!D77</f>
        <v>2.8</v>
      </c>
      <c r="E266" s="31">
        <f>CZ.V!E77</f>
        <v>160</v>
      </c>
      <c r="F266" s="16" t="str">
        <f>CZ.V!F77</f>
        <v>N</v>
      </c>
      <c r="G266" s="58">
        <f>CZ.V!G77</f>
        <v>0.32</v>
      </c>
      <c r="H266" s="53">
        <f>CZ.V!H77</f>
        <v>0.96</v>
      </c>
      <c r="I266" s="16">
        <f>CZ.V!I77</f>
        <v>130</v>
      </c>
      <c r="J266" s="16">
        <f>CZ.V!J77</f>
        <v>86</v>
      </c>
      <c r="K266" s="18">
        <f>CZ.V!K77</f>
        <v>72</v>
      </c>
      <c r="L266" s="25">
        <f>CZ.V!L77</f>
        <v>538</v>
      </c>
      <c r="M266" s="36" t="str">
        <f>CZ.V!M77</f>
        <v>.16-04</v>
      </c>
      <c r="N266" s="25">
        <f>CZ.V!N77</f>
        <v>712.5</v>
      </c>
      <c r="O266" s="73" t="str">
        <f>CZ.V!O77</f>
        <v>.16-04</v>
      </c>
      <c r="P266" s="25">
        <f>CZ.V!P77</f>
        <v>500</v>
      </c>
      <c r="Q266" s="36" t="str">
        <f>CZ.V!Q77</f>
        <v>.15-11</v>
      </c>
      <c r="R266" s="31" t="str">
        <f>CZ.V!R77</f>
        <v>keh</v>
      </c>
      <c r="S266" s="25">
        <f>CZ.V!S77</f>
        <v>800</v>
      </c>
      <c r="T266" s="36" t="str">
        <f>CZ.V!T77</f>
        <v>.13-02</v>
      </c>
      <c r="U266" s="31" t="str">
        <f>CZ.V!U77</f>
        <v>b&amp;h</v>
      </c>
    </row>
    <row r="267" spans="1:21">
      <c r="A267" s="143" t="str">
        <f>LNOP!A28</f>
        <v>Leica</v>
      </c>
      <c r="B267" s="11" t="str">
        <f>LNOP!B28</f>
        <v>Apo-MacroElmarit-R 100/2.8</v>
      </c>
      <c r="C267" s="16">
        <f>LNOP!C28</f>
        <v>100</v>
      </c>
      <c r="D267" s="18">
        <f>LNOP!D28</f>
        <v>2.8</v>
      </c>
      <c r="E267" s="31">
        <f>LNOP!E28</f>
        <v>160</v>
      </c>
      <c r="F267" s="16" t="str">
        <f>LNOP!F28</f>
        <v>LR</v>
      </c>
      <c r="G267" s="58">
        <f>LNOP!G28</f>
        <v>0.45</v>
      </c>
      <c r="H267" s="53">
        <f>LNOP!H28</f>
        <v>0.76</v>
      </c>
      <c r="I267" s="16">
        <f>LNOP!I28</f>
        <v>104.5</v>
      </c>
      <c r="J267" s="16">
        <f>LNOP!J28</f>
        <v>73</v>
      </c>
      <c r="K267" s="18">
        <f>LNOP!K28</f>
        <v>60</v>
      </c>
      <c r="L267" s="25">
        <f>LNOP!L28</f>
        <v>1404</v>
      </c>
      <c r="M267" s="36" t="str">
        <f>LNOP!M28</f>
        <v>.16-03</v>
      </c>
      <c r="N267" s="25">
        <f>LNOP!N28</f>
        <v>1872.6666666666667</v>
      </c>
      <c r="O267" s="73" t="str">
        <f>LNOP!O28</f>
        <v>.16-05</v>
      </c>
      <c r="P267" s="25">
        <f>LNOP!P28</f>
        <v>1395</v>
      </c>
      <c r="Q267" s="36" t="str">
        <f>LNOP!Q28</f>
        <v>.15-11</v>
      </c>
      <c r="R267" s="31" t="str">
        <f>LNOP!R28</f>
        <v>camW</v>
      </c>
      <c r="S267" s="25">
        <f>LNOP!S28</f>
        <v>1845</v>
      </c>
      <c r="T267" s="36" t="str">
        <f>LNOP!T28</f>
        <v>.16-01</v>
      </c>
      <c r="U267" s="31" t="str">
        <f>LNOP!U28</f>
        <v>igor</v>
      </c>
    </row>
    <row r="268" spans="1:21">
      <c r="A268" s="143" t="str">
        <f>LNOP!A132</f>
        <v>Pentax</v>
      </c>
      <c r="B268" s="11" t="str">
        <f>LNOP!B132</f>
        <v>SMC Pentax-A 100/2.8 Macro</v>
      </c>
      <c r="C268" s="16">
        <f>LNOP!C132</f>
        <v>100</v>
      </c>
      <c r="D268" s="18">
        <f>LNOP!D132</f>
        <v>2.8</v>
      </c>
      <c r="E268" s="31">
        <f>LNOP!E132</f>
        <v>160</v>
      </c>
      <c r="F268" s="16" t="str">
        <f>LNOP!F132</f>
        <v>KA</v>
      </c>
      <c r="G268" s="58">
        <f>LNOP!G132</f>
        <v>0.31</v>
      </c>
      <c r="H268" s="53">
        <f>LNOP!H132</f>
        <v>0.47</v>
      </c>
      <c r="I268" s="16">
        <f>LNOP!I132</f>
        <v>93</v>
      </c>
      <c r="J268" s="16">
        <f>LNOP!J132</f>
        <v>74</v>
      </c>
      <c r="K268" s="18">
        <f>LNOP!K132</f>
        <v>58</v>
      </c>
      <c r="L268" s="25">
        <f>LNOP!L132</f>
        <v>517.66666666666663</v>
      </c>
      <c r="M268" s="36" t="str">
        <f>LNOP!M132</f>
        <v>.15-10</v>
      </c>
      <c r="N268" s="25">
        <f>LNOP!N132</f>
        <v>749.6</v>
      </c>
      <c r="O268" s="73" t="str">
        <f>LNOP!O132</f>
        <v>.15-10</v>
      </c>
      <c r="P268" s="25">
        <f>LNOP!P132</f>
        <v>304</v>
      </c>
      <c r="Q268" s="36" t="str">
        <f>LNOP!Q132</f>
        <v>.15-07</v>
      </c>
      <c r="R268" s="31" t="str">
        <f>LNOP!R132</f>
        <v>ctc</v>
      </c>
      <c r="S268" s="25">
        <f>LNOP!S132</f>
        <v>475</v>
      </c>
      <c r="T268" s="36" t="str">
        <f>LNOP!T132</f>
        <v>.15-01</v>
      </c>
      <c r="U268" s="31" t="str">
        <f>LNOP!U132</f>
        <v>igor</v>
      </c>
    </row>
    <row r="269" spans="1:21">
      <c r="A269" s="143" t="str">
        <f>LNOP!A168</f>
        <v>Fuji Photo</v>
      </c>
      <c r="B269" s="11" t="str">
        <f>LNOP!B168</f>
        <v>EBC Fujinon 100/2.8</v>
      </c>
      <c r="C269" s="16">
        <f>LNOP!C168</f>
        <v>100</v>
      </c>
      <c r="D269" s="18">
        <f>LNOP!D168</f>
        <v>2.8</v>
      </c>
      <c r="E269" s="31">
        <f>LNOP!E168</f>
        <v>160</v>
      </c>
      <c r="F269" s="16" t="str">
        <f>LNOP!F168</f>
        <v>M42</v>
      </c>
      <c r="G269" s="58">
        <f>LNOP!G168</f>
        <v>1.2</v>
      </c>
      <c r="H269" s="53">
        <f>LNOP!H168</f>
        <v>0.254</v>
      </c>
      <c r="I269" s="16" t="str">
        <f>LNOP!I168</f>
        <v xml:space="preserve">  </v>
      </c>
      <c r="J269" s="16" t="str">
        <f>LNOP!J168</f>
        <v xml:space="preserve"> </v>
      </c>
      <c r="K269" s="18">
        <f>LNOP!K168</f>
        <v>49</v>
      </c>
      <c r="L269" s="25">
        <f>LNOP!L168</f>
        <v>144.4</v>
      </c>
      <c r="M269" s="36" t="str">
        <f>LNOP!M168</f>
        <v>.16-02</v>
      </c>
      <c r="N269" s="25">
        <f>LNOP!N168</f>
        <v>217.44444444444446</v>
      </c>
      <c r="O269" s="73" t="str">
        <f>LNOP!O168</f>
        <v>.15-11</v>
      </c>
      <c r="P269" s="25" t="str">
        <f>LNOP!P168</f>
        <v xml:space="preserve"> </v>
      </c>
      <c r="Q269" s="36" t="str">
        <f>LNOP!Q168</f>
        <v xml:space="preserve"> </v>
      </c>
      <c r="R269" s="31" t="str">
        <f>LNOP!R168</f>
        <v xml:space="preserve"> </v>
      </c>
      <c r="S269" s="25" t="str">
        <f>LNOP!S168</f>
        <v xml:space="preserve"> </v>
      </c>
      <c r="T269" s="36" t="str">
        <f>LNOP!T168</f>
        <v xml:space="preserve"> </v>
      </c>
      <c r="U269" s="31" t="str">
        <f>LNOP!U168</f>
        <v xml:space="preserve"> </v>
      </c>
    </row>
    <row r="270" spans="1:21">
      <c r="A270" s="143" t="str">
        <f>LNOP!A157</f>
        <v>Samyang</v>
      </c>
      <c r="B270" s="11" t="str">
        <f>LNOP!B157</f>
        <v>100/2.8 ED UMC Macro</v>
      </c>
      <c r="C270" s="16">
        <f>LNOP!C157</f>
        <v>100</v>
      </c>
      <c r="D270" s="18">
        <f>LNOP!D157</f>
        <v>2.8</v>
      </c>
      <c r="E270" s="31">
        <f>LNOP!E157</f>
        <v>160</v>
      </c>
      <c r="F270" s="16" t="str">
        <f>LNOP!F157</f>
        <v>EFx</v>
      </c>
      <c r="G270" s="58">
        <f>LNOP!G157</f>
        <v>0.307</v>
      </c>
      <c r="H270" s="53">
        <f>LNOP!H157</f>
        <v>0.72</v>
      </c>
      <c r="I270" s="16">
        <f>LNOP!I157</f>
        <v>123.1</v>
      </c>
      <c r="J270" s="16">
        <f>LNOP!J157</f>
        <v>72.599999999999994</v>
      </c>
      <c r="K270" s="18">
        <f>LNOP!K157</f>
        <v>67</v>
      </c>
      <c r="L270" s="25" t="str">
        <f>LNOP!L157</f>
        <v xml:space="preserve"> </v>
      </c>
      <c r="M270" s="36" t="str">
        <f>LNOP!M157</f>
        <v xml:space="preserve"> </v>
      </c>
      <c r="N270" s="25">
        <f>LNOP!N157</f>
        <v>399</v>
      </c>
      <c r="O270" s="73" t="str">
        <f>LNOP!O157</f>
        <v>.16-01</v>
      </c>
      <c r="P270" s="25" t="str">
        <f>LNOP!P157</f>
        <v xml:space="preserve"> </v>
      </c>
      <c r="Q270" s="36" t="str">
        <f>LNOP!Q157</f>
        <v xml:space="preserve"> </v>
      </c>
      <c r="R270" s="31" t="str">
        <f>LNOP!R157</f>
        <v xml:space="preserve"> </v>
      </c>
      <c r="S270" s="25">
        <f>LNOP!S157</f>
        <v>550</v>
      </c>
      <c r="T270" s="36" t="str">
        <f>LNOP!T157</f>
        <v>.15-07</v>
      </c>
      <c r="U270" s="31" t="str">
        <f>LNOP!U157</f>
        <v>b&amp;h</v>
      </c>
    </row>
    <row r="271" spans="1:21">
      <c r="A271" s="143" t="str">
        <f>CZ.V!A54</f>
        <v>Carl Zeiss</v>
      </c>
      <c r="B271" s="11" t="str">
        <f>CZ.V!B54</f>
        <v>Sonnar T* 100/3.5 CY</v>
      </c>
      <c r="C271" s="16">
        <f>CZ.V!C54</f>
        <v>100</v>
      </c>
      <c r="D271" s="18">
        <f>CZ.V!D54</f>
        <v>3.5</v>
      </c>
      <c r="E271" s="31">
        <f>CZ.V!E54</f>
        <v>160</v>
      </c>
      <c r="F271" s="16" t="str">
        <f>CZ.V!F54</f>
        <v>CY</v>
      </c>
      <c r="G271" s="58">
        <f>CZ.V!G54</f>
        <v>1</v>
      </c>
      <c r="H271" s="53">
        <f>CZ.V!H54</f>
        <v>0.28599999999999998</v>
      </c>
      <c r="I271" s="16">
        <f>CZ.V!I54</f>
        <v>61</v>
      </c>
      <c r="J271" s="16">
        <f>CZ.V!J54</f>
        <v>62.5</v>
      </c>
      <c r="K271" s="18">
        <f>CZ.V!K54</f>
        <v>55</v>
      </c>
      <c r="L271" s="25">
        <f>CZ.V!L54</f>
        <v>299.39999999999998</v>
      </c>
      <c r="M271" s="36" t="str">
        <f>CZ.V!M54</f>
        <v>.16-05</v>
      </c>
      <c r="N271" s="25">
        <f>CZ.V!N54</f>
        <v>480.28571428571428</v>
      </c>
      <c r="O271" s="73" t="str">
        <f>CZ.V!O54</f>
        <v>.16-04</v>
      </c>
      <c r="P271" s="25">
        <f>CZ.V!P54</f>
        <v>250</v>
      </c>
      <c r="Q271" s="36" t="str">
        <f>CZ.V!Q54</f>
        <v>.16-05</v>
      </c>
      <c r="R271" s="31" t="str">
        <f>CZ.V!R54</f>
        <v>kenmore</v>
      </c>
      <c r="S271" s="25">
        <f>CZ.V!S54</f>
        <v>470</v>
      </c>
      <c r="T271" s="36" t="str">
        <f>CZ.V!T54</f>
        <v>.16-05</v>
      </c>
      <c r="U271" s="31" t="str">
        <f>CZ.V!U54</f>
        <v>keh</v>
      </c>
    </row>
    <row r="272" spans="1:21">
      <c r="A272" s="143" t="str">
        <f>CZ.V!A55</f>
        <v>Carl Zeiss</v>
      </c>
      <c r="B272" s="11" t="str">
        <f>CZ.V!B55</f>
        <v>S-Planar 100/4 CY (bellows)</v>
      </c>
      <c r="C272" s="16">
        <f>CZ.V!C55</f>
        <v>100</v>
      </c>
      <c r="D272" s="18">
        <f>CZ.V!D55</f>
        <v>4</v>
      </c>
      <c r="E272" s="31">
        <f>CZ.V!E55</f>
        <v>160</v>
      </c>
      <c r="F272" s="16" t="str">
        <f>CZ.V!F55</f>
        <v>CY</v>
      </c>
      <c r="G272" s="58" t="str">
        <f>CZ.V!G55</f>
        <v>x</v>
      </c>
      <c r="H272" s="53">
        <f>CZ.V!H55</f>
        <v>0.28000000000000003</v>
      </c>
      <c r="I272" s="16">
        <f>CZ.V!I55</f>
        <v>48.5</v>
      </c>
      <c r="J272" s="16">
        <f>CZ.V!J55</f>
        <v>62.5</v>
      </c>
      <c r="K272" s="18">
        <f>CZ.V!K55</f>
        <v>55</v>
      </c>
      <c r="L272" s="25">
        <f>CZ.V!L55</f>
        <v>0</v>
      </c>
      <c r="M272" s="36" t="str">
        <f>CZ.V!M55</f>
        <v xml:space="preserve"> </v>
      </c>
      <c r="N272" s="25">
        <f>CZ.V!N55</f>
        <v>0</v>
      </c>
      <c r="O272" s="73" t="str">
        <f>CZ.V!O55</f>
        <v xml:space="preserve"> </v>
      </c>
      <c r="P272" s="25" t="str">
        <f>CZ.V!P55</f>
        <v xml:space="preserve"> </v>
      </c>
      <c r="Q272" s="36" t="str">
        <f>CZ.V!Q55</f>
        <v xml:space="preserve"> </v>
      </c>
      <c r="R272" s="31" t="str">
        <f>CZ.V!R55</f>
        <v xml:space="preserve"> </v>
      </c>
      <c r="S272" s="25">
        <f>CZ.V!S55</f>
        <v>2000</v>
      </c>
      <c r="T272" s="36" t="str">
        <f>CZ.V!T55</f>
        <v>.13-04</v>
      </c>
      <c r="U272" s="31" t="str">
        <f>CZ.V!U55</f>
        <v>kevin</v>
      </c>
    </row>
    <row r="273" spans="1:21">
      <c r="A273" s="143" t="str">
        <f>LNOP!A29</f>
        <v>Leica</v>
      </c>
      <c r="B273" s="11" t="str">
        <f>LNOP!B29</f>
        <v>Macro-Elmar-R 100/4</v>
      </c>
      <c r="C273" s="16">
        <f>LNOP!C29</f>
        <v>100</v>
      </c>
      <c r="D273" s="18">
        <f>LNOP!D29</f>
        <v>4</v>
      </c>
      <c r="E273" s="31">
        <f>LNOP!E29</f>
        <v>160</v>
      </c>
      <c r="F273" s="16" t="str">
        <f>LNOP!F29</f>
        <v>LR</v>
      </c>
      <c r="G273" s="58" t="str">
        <f>LNOP!G29</f>
        <v xml:space="preserve"> </v>
      </c>
      <c r="H273" s="53" t="str">
        <f>LNOP!H29</f>
        <v xml:space="preserve"> </v>
      </c>
      <c r="I273" s="16" t="str">
        <f>LNOP!I29</f>
        <v xml:space="preserve"> </v>
      </c>
      <c r="J273" s="16" t="str">
        <f>LNOP!J29</f>
        <v xml:space="preserve"> </v>
      </c>
      <c r="K273" s="18">
        <f>LNOP!K29</f>
        <v>55</v>
      </c>
      <c r="L273" s="25">
        <f>LNOP!L29</f>
        <v>329.4</v>
      </c>
      <c r="M273" s="36" t="str">
        <f>LNOP!M29</f>
        <v>.16-04</v>
      </c>
      <c r="N273" s="25">
        <f>LNOP!N29</f>
        <v>493.875</v>
      </c>
      <c r="O273" s="73" t="str">
        <f>LNOP!O29</f>
        <v>.16-05</v>
      </c>
      <c r="P273" s="25">
        <f>LNOP!P29</f>
        <v>350</v>
      </c>
      <c r="Q273" s="36" t="str">
        <f>LNOP!Q29</f>
        <v>.15-04</v>
      </c>
      <c r="R273" s="31" t="str">
        <f>LNOP!R29</f>
        <v>ado</v>
      </c>
      <c r="S273" s="25" t="str">
        <f>LNOP!S29</f>
        <v xml:space="preserve"> </v>
      </c>
      <c r="T273" s="36" t="str">
        <f>LNOP!T29</f>
        <v xml:space="preserve"> </v>
      </c>
      <c r="U273" s="31" t="str">
        <f>LNOP!U29</f>
        <v xml:space="preserve"> </v>
      </c>
    </row>
    <row r="274" spans="1:21">
      <c r="A274" s="144" t="str">
        <f>LNOP!A133</f>
        <v>Pentax</v>
      </c>
      <c r="B274" s="22" t="str">
        <f>LNOP!B133</f>
        <v>SMC Pentax-M,-A 100/4 Macro</v>
      </c>
      <c r="C274" s="27">
        <f>LNOP!C133</f>
        <v>100</v>
      </c>
      <c r="D274" s="41">
        <f>LNOP!D133</f>
        <v>4</v>
      </c>
      <c r="E274" s="33">
        <f>LNOP!E133</f>
        <v>160</v>
      </c>
      <c r="F274" s="27" t="str">
        <f>LNOP!F133</f>
        <v>K</v>
      </c>
      <c r="G274" s="55">
        <f>LNOP!G133</f>
        <v>0.45</v>
      </c>
      <c r="H274" s="56">
        <f>LNOP!H133</f>
        <v>0.36</v>
      </c>
      <c r="I274" s="27">
        <f>LNOP!I133</f>
        <v>78</v>
      </c>
      <c r="J274" s="27">
        <f>LNOP!J133</f>
        <v>65</v>
      </c>
      <c r="K274" s="41">
        <f>LNOP!K133</f>
        <v>49</v>
      </c>
      <c r="L274" s="26">
        <f>LNOP!L133</f>
        <v>121.44444444444444</v>
      </c>
      <c r="M274" s="24" t="str">
        <f>LNOP!M133</f>
        <v>.16-01</v>
      </c>
      <c r="N274" s="26">
        <f>LNOP!N133</f>
        <v>174.33333333333334</v>
      </c>
      <c r="O274" s="124" t="str">
        <f>LNOP!O133</f>
        <v>.16-05</v>
      </c>
      <c r="P274" s="26">
        <f>LNOP!P133</f>
        <v>200</v>
      </c>
      <c r="Q274" s="24" t="str">
        <f>LNOP!Q133</f>
        <v>.16-01</v>
      </c>
      <c r="R274" s="33" t="str">
        <f>LNOP!R133</f>
        <v>b&amp;h</v>
      </c>
      <c r="S274" s="26" t="str">
        <f>LNOP!S133</f>
        <v xml:space="preserve"> </v>
      </c>
      <c r="T274" s="24" t="str">
        <f>LNOP!T133</f>
        <v xml:space="preserve"> </v>
      </c>
      <c r="U274" s="33" t="str">
        <f>LNOP!U133</f>
        <v xml:space="preserve"> </v>
      </c>
    </row>
    <row r="275" spans="1:21">
      <c r="A275" s="143" t="str">
        <f>LNOP!A54</f>
        <v>Nikon</v>
      </c>
      <c r="B275" s="11" t="str">
        <f>LNOP!B54</f>
        <v>Nikkor 105/1.8 AIS</v>
      </c>
      <c r="C275" s="16">
        <f>LNOP!C54</f>
        <v>105</v>
      </c>
      <c r="D275" s="18">
        <f>LNOP!D54</f>
        <v>1.8</v>
      </c>
      <c r="E275" s="31">
        <f>LNOP!E54</f>
        <v>168</v>
      </c>
      <c r="F275" s="16" t="str">
        <f>LNOP!F54</f>
        <v>AIS</v>
      </c>
      <c r="G275" s="58">
        <f>LNOP!G54</f>
        <v>1</v>
      </c>
      <c r="H275" s="53">
        <f>LNOP!H54</f>
        <v>0.57999999999999996</v>
      </c>
      <c r="I275" s="16">
        <f>LNOP!I54</f>
        <v>80.5</v>
      </c>
      <c r="J275" s="16">
        <f>LNOP!J54</f>
        <v>78.5</v>
      </c>
      <c r="K275" s="18">
        <f>LNOP!K54</f>
        <v>62</v>
      </c>
      <c r="L275" s="25">
        <f>LNOP!L54</f>
        <v>301.5</v>
      </c>
      <c r="M275" s="36" t="str">
        <f>LNOP!M54</f>
        <v>.16-04</v>
      </c>
      <c r="N275" s="25">
        <f>LNOP!N54</f>
        <v>458</v>
      </c>
      <c r="O275" s="73" t="str">
        <f>LNOP!O54</f>
        <v>.16-05</v>
      </c>
      <c r="P275" s="25">
        <f>LNOP!P54</f>
        <v>500</v>
      </c>
      <c r="Q275" s="36" t="str">
        <f>LNOP!Q54</f>
        <v>.15-04</v>
      </c>
      <c r="R275" s="31" t="str">
        <f>LNOP!R54</f>
        <v>b&amp;h</v>
      </c>
      <c r="S275" s="25">
        <f>LNOP!S54</f>
        <v>795</v>
      </c>
      <c r="T275" s="36" t="str">
        <f>LNOP!T54</f>
        <v>.11-11</v>
      </c>
      <c r="U275" s="31" t="str">
        <f>LNOP!U54</f>
        <v>camW</v>
      </c>
    </row>
    <row r="276" spans="1:21">
      <c r="A276" s="143" t="str">
        <f>LNOP!A178</f>
        <v>Komura</v>
      </c>
      <c r="B276" s="11" t="str">
        <f>LNOP!B178</f>
        <v>105/2</v>
      </c>
      <c r="C276" s="16">
        <f>LNOP!C178</f>
        <v>105</v>
      </c>
      <c r="D276" s="18">
        <f>LNOP!D178</f>
        <v>2</v>
      </c>
      <c r="E276" s="31">
        <f>LNOP!E178</f>
        <v>168</v>
      </c>
      <c r="F276" s="16" t="str">
        <f>LNOP!F178</f>
        <v>x</v>
      </c>
      <c r="G276" s="58">
        <f>LNOP!G178</f>
        <v>1.5</v>
      </c>
      <c r="H276" s="53">
        <f>LNOP!H178</f>
        <v>0.39700000000000002</v>
      </c>
      <c r="I276" s="16">
        <f>LNOP!I178</f>
        <v>78.5</v>
      </c>
      <c r="J276" s="16" t="str">
        <f>LNOP!J178</f>
        <v xml:space="preserve"> </v>
      </c>
      <c r="K276" s="18">
        <f>LNOP!K178</f>
        <v>58</v>
      </c>
      <c r="L276" s="25">
        <f>LNOP!L178</f>
        <v>0</v>
      </c>
      <c r="M276" s="36" t="str">
        <f>LNOP!M178</f>
        <v xml:space="preserve"> </v>
      </c>
      <c r="N276" s="25">
        <f>LNOP!N178</f>
        <v>299</v>
      </c>
      <c r="O276" s="73" t="str">
        <f>LNOP!O178</f>
        <v>.15-11</v>
      </c>
      <c r="P276" s="25" t="str">
        <f>LNOP!P178</f>
        <v xml:space="preserve"> </v>
      </c>
      <c r="Q276" s="36" t="str">
        <f>LNOP!Q178</f>
        <v xml:space="preserve"> </v>
      </c>
      <c r="R276" s="31" t="str">
        <f>LNOP!R178</f>
        <v xml:space="preserve"> </v>
      </c>
      <c r="S276" s="25" t="str">
        <f>LNOP!S178</f>
        <v xml:space="preserve"> </v>
      </c>
      <c r="T276" s="36" t="str">
        <f>LNOP!T178</f>
        <v xml:space="preserve"> </v>
      </c>
      <c r="U276" s="31" t="str">
        <f>LNOP!U178</f>
        <v xml:space="preserve"> </v>
      </c>
    </row>
    <row r="277" spans="1:21">
      <c r="A277" s="143" t="str">
        <f>LNOP!A55</f>
        <v>Nikon</v>
      </c>
      <c r="B277" s="11" t="str">
        <f>LNOP!B55</f>
        <v>Nikkor-P Auto 105/2.5</v>
      </c>
      <c r="C277" s="16">
        <f>LNOP!C55</f>
        <v>105</v>
      </c>
      <c r="D277" s="18">
        <f>LNOP!D55</f>
        <v>2.5</v>
      </c>
      <c r="E277" s="31">
        <f>LNOP!E55</f>
        <v>168</v>
      </c>
      <c r="F277" s="16" t="str">
        <f>LNOP!F55</f>
        <v>F</v>
      </c>
      <c r="G277" s="58">
        <f>LNOP!G55</f>
        <v>1</v>
      </c>
      <c r="H277" s="53">
        <f>LNOP!H55</f>
        <v>0.435</v>
      </c>
      <c r="I277" s="16">
        <f>LNOP!I55</f>
        <v>66</v>
      </c>
      <c r="J277" s="16">
        <f>LNOP!J55</f>
        <v>68.5</v>
      </c>
      <c r="K277" s="18">
        <f>LNOP!K55</f>
        <v>52</v>
      </c>
      <c r="L277" s="25">
        <f>LNOP!L55</f>
        <v>118.88888888888889</v>
      </c>
      <c r="M277" s="36" t="str">
        <f>LNOP!M55</f>
        <v>.16-05</v>
      </c>
      <c r="N277" s="25">
        <f>LNOP!N55</f>
        <v>189.09090909090909</v>
      </c>
      <c r="O277" s="73" t="str">
        <f>LNOP!O55</f>
        <v>.16-03</v>
      </c>
      <c r="P277" s="25">
        <f>LNOP!P55</f>
        <v>130</v>
      </c>
      <c r="Q277" s="36" t="str">
        <f>LNOP!Q55</f>
        <v>.14-08</v>
      </c>
      <c r="R277" s="31" t="str">
        <f>LNOP!R55</f>
        <v>b&amp;h</v>
      </c>
      <c r="S277" s="25">
        <f>LNOP!S55</f>
        <v>265</v>
      </c>
      <c r="T277" s="36" t="str">
        <f>LNOP!T55</f>
        <v>.13-07</v>
      </c>
      <c r="U277" s="31" t="str">
        <f>LNOP!U55</f>
        <v>keh</v>
      </c>
    </row>
    <row r="278" spans="1:21">
      <c r="A278" s="143" t="str">
        <f>LNOP!A56</f>
        <v>Nikon</v>
      </c>
      <c r="B278" s="11" t="str">
        <f>LNOP!B56</f>
        <v>Nikkor 105/2.5</v>
      </c>
      <c r="C278" s="16">
        <f>LNOP!C56</f>
        <v>105</v>
      </c>
      <c r="D278" s="18">
        <f>LNOP!D56</f>
        <v>2.5</v>
      </c>
      <c r="E278" s="31">
        <f>LNOP!E56</f>
        <v>168</v>
      </c>
      <c r="F278" s="16" t="str">
        <f>LNOP!F56</f>
        <v>AI</v>
      </c>
      <c r="G278" s="58">
        <f>LNOP!G56</f>
        <v>1</v>
      </c>
      <c r="H278" s="53">
        <f>LNOP!H56</f>
        <v>0.435</v>
      </c>
      <c r="I278" s="16">
        <f>LNOP!I56</f>
        <v>68.5</v>
      </c>
      <c r="J278" s="16">
        <f>LNOP!J56</f>
        <v>66</v>
      </c>
      <c r="K278" s="18">
        <f>LNOP!K56</f>
        <v>52</v>
      </c>
      <c r="L278" s="25">
        <f>LNOP!L56</f>
        <v>125.44444444444444</v>
      </c>
      <c r="M278" s="36" t="str">
        <f>LNOP!M56</f>
        <v>.16-05</v>
      </c>
      <c r="N278" s="25">
        <f>LNOP!N56</f>
        <v>209.33333333333334</v>
      </c>
      <c r="O278" s="73" t="str">
        <f>LNOP!O56</f>
        <v>.16-05</v>
      </c>
      <c r="P278" s="25">
        <f>LNOP!P56</f>
        <v>170</v>
      </c>
      <c r="Q278" s="36" t="str">
        <f>LNOP!Q56</f>
        <v>.16-01</v>
      </c>
      <c r="R278" s="31" t="str">
        <f>LNOP!R56</f>
        <v>b&amp;h</v>
      </c>
      <c r="S278" s="25">
        <f>LNOP!S56</f>
        <v>150</v>
      </c>
      <c r="T278" s="36" t="str">
        <f>LNOP!T56</f>
        <v>.15-04</v>
      </c>
      <c r="U278" s="31" t="str">
        <f>LNOP!U56</f>
        <v>igor</v>
      </c>
    </row>
    <row r="279" spans="1:21">
      <c r="A279" s="143" t="str">
        <f>LNOP!A179</f>
        <v>Komura</v>
      </c>
      <c r="B279" s="11" t="str">
        <f>LNOP!B179</f>
        <v>105/2.5</v>
      </c>
      <c r="C279" s="16">
        <f>LNOP!C179</f>
        <v>105</v>
      </c>
      <c r="D279" s="18">
        <f>LNOP!D179</f>
        <v>2.5</v>
      </c>
      <c r="E279" s="31">
        <f>LNOP!E179</f>
        <v>168</v>
      </c>
      <c r="F279" s="16" t="str">
        <f>LNOP!F179</f>
        <v>x</v>
      </c>
      <c r="G279" s="58">
        <f>LNOP!G179</f>
        <v>1.0668</v>
      </c>
      <c r="H279" s="53">
        <f>LNOP!H179</f>
        <v>0.311</v>
      </c>
      <c r="I279" s="16">
        <f>LNOP!I179</f>
        <v>86</v>
      </c>
      <c r="J279" s="16" t="str">
        <f>LNOP!J179</f>
        <v xml:space="preserve"> </v>
      </c>
      <c r="K279" s="18">
        <f>LNOP!K179</f>
        <v>48</v>
      </c>
      <c r="L279" s="25">
        <f>LNOP!L179</f>
        <v>0</v>
      </c>
      <c r="M279" s="36" t="str">
        <f>LNOP!M179</f>
        <v xml:space="preserve"> </v>
      </c>
      <c r="N279" s="25">
        <f>LNOP!N179</f>
        <v>0</v>
      </c>
      <c r="O279" s="73" t="str">
        <f>LNOP!O179</f>
        <v xml:space="preserve"> </v>
      </c>
      <c r="P279" s="25" t="str">
        <f>LNOP!P179</f>
        <v xml:space="preserve"> </v>
      </c>
      <c r="Q279" s="36" t="str">
        <f>LNOP!Q179</f>
        <v xml:space="preserve"> </v>
      </c>
      <c r="R279" s="31" t="str">
        <f>LNOP!R179</f>
        <v xml:space="preserve"> </v>
      </c>
      <c r="S279" s="25" t="str">
        <f>LNOP!S179</f>
        <v xml:space="preserve"> </v>
      </c>
      <c r="T279" s="36" t="str">
        <f>LNOP!T179</f>
        <v xml:space="preserve"> </v>
      </c>
      <c r="U279" s="31" t="str">
        <f>LNOP!U179</f>
        <v xml:space="preserve"> </v>
      </c>
    </row>
    <row r="280" spans="1:21">
      <c r="A280" s="143" t="str">
        <f>STT!A19</f>
        <v>Sigma</v>
      </c>
      <c r="B280" s="11" t="str">
        <f>STT!B19</f>
        <v>EX 105/2.8 macro</v>
      </c>
      <c r="C280" s="16">
        <f>STT!C19</f>
        <v>105</v>
      </c>
      <c r="D280" s="18">
        <f>STT!D19</f>
        <v>2.8</v>
      </c>
      <c r="E280" s="31">
        <f>STT!E19</f>
        <v>168</v>
      </c>
      <c r="F280" s="16" t="str">
        <f>STT!F19</f>
        <v>EF</v>
      </c>
      <c r="G280" s="58">
        <f>STT!G19</f>
        <v>0.31</v>
      </c>
      <c r="H280" s="53">
        <f>STT!H19</f>
        <v>0.45</v>
      </c>
      <c r="I280" s="16">
        <f>STT!I19</f>
        <v>95</v>
      </c>
      <c r="J280" s="16">
        <f>STT!J19</f>
        <v>74</v>
      </c>
      <c r="K280" s="18">
        <f>STT!K19</f>
        <v>58</v>
      </c>
      <c r="L280" s="25">
        <f>STT!L19</f>
        <v>180.11111111111111</v>
      </c>
      <c r="M280" s="36" t="str">
        <f>STT!M19</f>
        <v>.16-01</v>
      </c>
      <c r="N280" s="25">
        <f>STT!N19</f>
        <v>239.5</v>
      </c>
      <c r="O280" s="73" t="str">
        <f>STT!O19</f>
        <v>.16-05</v>
      </c>
      <c r="P280" s="25">
        <f>STT!P19</f>
        <v>300</v>
      </c>
      <c r="Q280" s="36" t="str">
        <f>STT!Q19</f>
        <v>.15-11</v>
      </c>
      <c r="R280" s="31" t="str">
        <f>STT!R19</f>
        <v>ado</v>
      </c>
      <c r="S280" s="25">
        <f>STT!S19</f>
        <v>340</v>
      </c>
      <c r="T280" s="36" t="str">
        <f>STT!T19</f>
        <v>.12-02</v>
      </c>
      <c r="U280" s="31" t="str">
        <f>STT!U19</f>
        <v>keh</v>
      </c>
    </row>
    <row r="281" spans="1:21">
      <c r="A281" s="144" t="str">
        <f>STT!A20</f>
        <v>Sigma</v>
      </c>
      <c r="B281" s="22" t="str">
        <f>STT!B20</f>
        <v>EX 105/2.8 macro OS</v>
      </c>
      <c r="C281" s="27">
        <f>STT!C20</f>
        <v>105</v>
      </c>
      <c r="D281" s="41">
        <f>STT!D20</f>
        <v>2.8</v>
      </c>
      <c r="E281" s="33">
        <f>STT!E20</f>
        <v>168</v>
      </c>
      <c r="F281" s="27" t="str">
        <f>STT!F20</f>
        <v>EF</v>
      </c>
      <c r="G281" s="55">
        <f>STT!G20</f>
        <v>0.31</v>
      </c>
      <c r="H281" s="56">
        <f>STT!H20</f>
        <v>0.72499999999999998</v>
      </c>
      <c r="I281" s="27">
        <f>STT!I20</f>
        <v>126.4</v>
      </c>
      <c r="J281" s="27">
        <f>STT!J20</f>
        <v>78.7</v>
      </c>
      <c r="K281" s="41">
        <f>STT!K20</f>
        <v>62</v>
      </c>
      <c r="L281" s="26">
        <f>STT!L20</f>
        <v>405</v>
      </c>
      <c r="M281" s="24" t="str">
        <f>STT!M20</f>
        <v>.16-01</v>
      </c>
      <c r="N281" s="26">
        <f>STT!N20</f>
        <v>498.5</v>
      </c>
      <c r="O281" s="124" t="str">
        <f>STT!O20</f>
        <v>.15-10</v>
      </c>
      <c r="P281" s="26">
        <f>STT!P20</f>
        <v>550</v>
      </c>
      <c r="Q281" s="24" t="str">
        <f>STT!Q20</f>
        <v>.14-08</v>
      </c>
      <c r="R281" s="33" t="str">
        <f>STT!R20</f>
        <v>ado</v>
      </c>
      <c r="S281" s="26" t="str">
        <f>STT!S20</f>
        <v xml:space="preserve"> </v>
      </c>
      <c r="T281" s="24" t="str">
        <f>STT!T20</f>
        <v xml:space="preserve"> </v>
      </c>
      <c r="U281" s="33" t="str">
        <f>STT!U20</f>
        <v xml:space="preserve"> </v>
      </c>
    </row>
    <row r="282" spans="1:21">
      <c r="A282" s="144" t="str">
        <f>'645'!A16</f>
        <v>Mamiya</v>
      </c>
      <c r="B282" s="22" t="str">
        <f>'645'!B16</f>
        <v>Mamiya-Sekor C 110/2.8 N</v>
      </c>
      <c r="C282" s="27">
        <f>'645'!C16</f>
        <v>110</v>
      </c>
      <c r="D282" s="41" t="str">
        <f>'645'!D16</f>
        <v>2.8</v>
      </c>
      <c r="E282" s="33">
        <f>'645'!E16</f>
        <v>176</v>
      </c>
      <c r="F282" s="27" t="str">
        <f>'645'!F16</f>
        <v>M645</v>
      </c>
      <c r="G282" s="55">
        <f>'645'!G16</f>
        <v>1.2</v>
      </c>
      <c r="H282" s="56">
        <f>'645'!H16</f>
        <v>0.39</v>
      </c>
      <c r="I282" s="27">
        <f>'645'!I16</f>
        <v>60</v>
      </c>
      <c r="J282" s="27">
        <f>'645'!J16</f>
        <v>70</v>
      </c>
      <c r="K282" s="41">
        <f>'645'!K16</f>
        <v>58</v>
      </c>
      <c r="L282" s="26">
        <f>'645'!L16</f>
        <v>126.54545454545455</v>
      </c>
      <c r="M282" s="24" t="str">
        <f>'645'!M16</f>
        <v>.16-03</v>
      </c>
      <c r="N282" s="26">
        <f>'645'!N16</f>
        <v>201</v>
      </c>
      <c r="O282" s="124" t="str">
        <f>'645'!O16</f>
        <v>.14-10</v>
      </c>
      <c r="P282" s="26">
        <f>'645'!P16</f>
        <v>110</v>
      </c>
      <c r="Q282" s="24" t="str">
        <f>'645'!Q16</f>
        <v>.15-03</v>
      </c>
      <c r="R282" s="33" t="str">
        <f>'645'!R16</f>
        <v>keh</v>
      </c>
      <c r="S282" s="26">
        <f>'645'!S16</f>
        <v>150</v>
      </c>
      <c r="T282" s="24" t="str">
        <f>'645'!T16</f>
        <v>.16-01</v>
      </c>
      <c r="U282" s="33" t="str">
        <f>'645'!U16</f>
        <v>b&amp;h</v>
      </c>
    </row>
    <row r="283" spans="1:21">
      <c r="A283" s="143" t="str">
        <f>'645'!A45</f>
        <v>Pentax</v>
      </c>
      <c r="B283" s="11" t="str">
        <f>'645'!B45</f>
        <v>SMC Pentax-FA 645 120/4 Mac</v>
      </c>
      <c r="C283" s="16">
        <f>'645'!C45</f>
        <v>120</v>
      </c>
      <c r="D283" s="18">
        <f>'645'!D45</f>
        <v>4</v>
      </c>
      <c r="E283" s="31">
        <f>'645'!E45</f>
        <v>56</v>
      </c>
      <c r="F283" s="16" t="str">
        <f>'645'!F45</f>
        <v>P645</v>
      </c>
      <c r="G283" s="58">
        <f>'645'!G45</f>
        <v>0.39500000000000002</v>
      </c>
      <c r="H283" s="53">
        <f>'645'!H45</f>
        <v>0.73499999999999999</v>
      </c>
      <c r="I283" s="16">
        <f>'645'!I45</f>
        <v>110</v>
      </c>
      <c r="J283" s="16">
        <f>'645'!J45</f>
        <v>82.5</v>
      </c>
      <c r="K283" s="18">
        <f>'645'!K45</f>
        <v>67</v>
      </c>
      <c r="L283" s="25">
        <f>'645'!L45</f>
        <v>249</v>
      </c>
      <c r="M283" s="36" t="str">
        <f>'645'!M45</f>
        <v>.15-11</v>
      </c>
      <c r="N283" s="25">
        <f>'645'!N45</f>
        <v>631.125</v>
      </c>
      <c r="O283" s="73" t="str">
        <f>'645'!O45</f>
        <v>.16-05</v>
      </c>
      <c r="P283" s="25" t="str">
        <f>'645'!P45</f>
        <v xml:space="preserve"> </v>
      </c>
      <c r="Q283" s="36" t="str">
        <f>'645'!Q45</f>
        <v xml:space="preserve"> </v>
      </c>
      <c r="R283" s="31" t="str">
        <f>'645'!R45</f>
        <v xml:space="preserve"> </v>
      </c>
      <c r="S283" s="25" t="str">
        <f>'645'!S45</f>
        <v xml:space="preserve"> </v>
      </c>
      <c r="T283" s="36" t="str">
        <f>'645'!T45</f>
        <v xml:space="preserve"> </v>
      </c>
      <c r="U283" s="31" t="str">
        <f>'645'!U45</f>
        <v xml:space="preserve"> </v>
      </c>
    </row>
    <row r="284" spans="1:21">
      <c r="A284" s="143" t="str">
        <f>'645'!A23</f>
        <v>Mamiya</v>
      </c>
      <c r="B284" s="11" t="str">
        <f>'645'!B23</f>
        <v xml:space="preserve">Mamiya A 120/4 Macro </v>
      </c>
      <c r="C284" s="16">
        <f>'645'!C23</f>
        <v>120</v>
      </c>
      <c r="D284" s="18" t="str">
        <f>'645'!D23</f>
        <v>4</v>
      </c>
      <c r="E284" s="31">
        <f>'645'!E23</f>
        <v>192</v>
      </c>
      <c r="F284" s="16" t="str">
        <f>'645'!F23</f>
        <v>M645</v>
      </c>
      <c r="G284" s="58">
        <f>'645'!G23</f>
        <v>0.4</v>
      </c>
      <c r="H284" s="53">
        <f>'645'!H23</f>
        <v>0.745</v>
      </c>
      <c r="I284" s="16">
        <f>'645'!I23</f>
        <v>111</v>
      </c>
      <c r="J284" s="16">
        <f>'645'!J23</f>
        <v>77.400000000000006</v>
      </c>
      <c r="K284" s="18">
        <f>'645'!K23</f>
        <v>67</v>
      </c>
      <c r="L284" s="25">
        <f>'645'!L23</f>
        <v>263.58333333333331</v>
      </c>
      <c r="M284" s="36" t="str">
        <f>'645'!M23</f>
        <v>.16-05</v>
      </c>
      <c r="N284" s="25">
        <f>'645'!N23</f>
        <v>372.875</v>
      </c>
      <c r="O284" s="73" t="str">
        <f>'645'!O23</f>
        <v>.16-05</v>
      </c>
      <c r="P284" s="25">
        <f>'645'!P23</f>
        <v>367</v>
      </c>
      <c r="Q284" s="36" t="str">
        <f>'645'!Q23</f>
        <v>.15-04</v>
      </c>
      <c r="R284" s="31" t="str">
        <f>'645'!R23</f>
        <v>keh</v>
      </c>
      <c r="S284" s="25">
        <f>'645'!S23</f>
        <v>450</v>
      </c>
      <c r="T284" s="36" t="str">
        <f>'645'!T23</f>
        <v>.16-01</v>
      </c>
      <c r="U284" s="31" t="str">
        <f>'645'!U23</f>
        <v>b&amp;h</v>
      </c>
    </row>
    <row r="285" spans="1:21">
      <c r="A285" s="144" t="str">
        <f>'645'!A44</f>
        <v>Pentax</v>
      </c>
      <c r="B285" s="22" t="str">
        <f>'645'!B44</f>
        <v>SMC Pentax-A 645 120/4 Mac</v>
      </c>
      <c r="C285" s="27">
        <f>'645'!C44</f>
        <v>120</v>
      </c>
      <c r="D285" s="41" t="str">
        <f>'645'!D44</f>
        <v>4</v>
      </c>
      <c r="E285" s="33">
        <f>'645'!E44</f>
        <v>56</v>
      </c>
      <c r="F285" s="27" t="str">
        <f>'645'!F44</f>
        <v>P645</v>
      </c>
      <c r="G285" s="55">
        <f>'645'!G44</f>
        <v>0.39</v>
      </c>
      <c r="H285" s="56">
        <f>'645'!H44</f>
        <v>0.69499999999999995</v>
      </c>
      <c r="I285" s="27">
        <f>'645'!I44</f>
        <v>110</v>
      </c>
      <c r="J285" s="27">
        <f>'645'!J44</f>
        <v>78.5</v>
      </c>
      <c r="K285" s="41">
        <f>'645'!K44</f>
        <v>67</v>
      </c>
      <c r="L285" s="26">
        <f>'645'!L44</f>
        <v>195.81818181818181</v>
      </c>
      <c r="M285" s="24" t="str">
        <f>'645'!M44</f>
        <v>.16-05</v>
      </c>
      <c r="N285" s="26">
        <f>'645'!N44</f>
        <v>280</v>
      </c>
      <c r="O285" s="124" t="str">
        <f>'645'!O44</f>
        <v>.16-05</v>
      </c>
      <c r="P285" s="26" t="str">
        <f>'645'!P44</f>
        <v xml:space="preserve"> </v>
      </c>
      <c r="Q285" s="24" t="str">
        <f>'645'!Q44</f>
        <v xml:space="preserve"> </v>
      </c>
      <c r="R285" s="33" t="str">
        <f>'645'!R44</f>
        <v xml:space="preserve"> </v>
      </c>
      <c r="S285" s="26">
        <f>'645'!S44</f>
        <v>350</v>
      </c>
      <c r="T285" s="24" t="str">
        <f>'645'!T44</f>
        <v>.14-01</v>
      </c>
      <c r="U285" s="33" t="str">
        <f>'645'!U44</f>
        <v>v.v</v>
      </c>
    </row>
    <row r="286" spans="1:21">
      <c r="A286" s="144" t="str">
        <f>CZ.V!A108</f>
        <v>Voigtlander</v>
      </c>
      <c r="B286" s="22" t="str">
        <f>CZ.V!B108</f>
        <v xml:space="preserve">125/2.5 Apo-Lanthar Macro SL </v>
      </c>
      <c r="C286" s="27">
        <f>CZ.V!C108</f>
        <v>125</v>
      </c>
      <c r="D286" s="41">
        <f>CZ.V!D108</f>
        <v>2.5</v>
      </c>
      <c r="E286" s="33">
        <f>CZ.V!E108</f>
        <v>200</v>
      </c>
      <c r="F286" s="27" t="str">
        <f>CZ.V!F108</f>
        <v>x</v>
      </c>
      <c r="G286" s="55">
        <f>CZ.V!G108</f>
        <v>0.38</v>
      </c>
      <c r="H286" s="56">
        <f>CZ.V!H108</f>
        <v>0.69</v>
      </c>
      <c r="I286" s="27">
        <f>CZ.V!I108</f>
        <v>88.2</v>
      </c>
      <c r="J286" s="27">
        <f>CZ.V!J108</f>
        <v>76</v>
      </c>
      <c r="K286" s="41">
        <f>CZ.V!K108</f>
        <v>58</v>
      </c>
      <c r="L286" s="26">
        <f>CZ.V!L108</f>
        <v>1285.3</v>
      </c>
      <c r="M286" s="24" t="str">
        <f>CZ.V!M108</f>
        <v>.16-05</v>
      </c>
      <c r="N286" s="26">
        <f>CZ.V!N108</f>
        <v>2133</v>
      </c>
      <c r="O286" s="124" t="str">
        <f>CZ.V!O108</f>
        <v>.16-01</v>
      </c>
      <c r="P286" s="26" t="str">
        <f>CZ.V!P108</f>
        <v>2450</v>
      </c>
      <c r="Q286" s="24" t="str">
        <f>CZ.V!Q108</f>
        <v>.12-01</v>
      </c>
      <c r="R286" s="33" t="str">
        <f>CZ.V!R108</f>
        <v>ado</v>
      </c>
      <c r="S286" s="26" t="str">
        <f>CZ.V!S108</f>
        <v xml:space="preserve"> </v>
      </c>
      <c r="T286" s="24" t="str">
        <f>CZ.V!T108</f>
        <v xml:space="preserve"> </v>
      </c>
      <c r="U286" s="33" t="str">
        <f>CZ.V!U108</f>
        <v xml:space="preserve"> </v>
      </c>
    </row>
    <row r="287" spans="1:21">
      <c r="A287" s="143" t="str">
        <f>LNOP!A134</f>
        <v>Pentax</v>
      </c>
      <c r="B287" s="11" t="str">
        <f>LNOP!B134</f>
        <v>SMC Pentax-A* 135mm f/1.8</v>
      </c>
      <c r="C287" s="16">
        <f>LNOP!C134</f>
        <v>135</v>
      </c>
      <c r="D287" s="18">
        <f>LNOP!D134</f>
        <v>1.8</v>
      </c>
      <c r="E287" s="31">
        <f>LNOP!E134</f>
        <v>216</v>
      </c>
      <c r="F287" s="16" t="str">
        <f>LNOP!F134</f>
        <v>KA</v>
      </c>
      <c r="G287" s="58">
        <f>LNOP!G134</f>
        <v>1.2</v>
      </c>
      <c r="H287" s="53">
        <f>LNOP!H134</f>
        <v>0.86499999999999999</v>
      </c>
      <c r="I287" s="16">
        <f>LNOP!I134</f>
        <v>98</v>
      </c>
      <c r="J287" s="16">
        <f>LNOP!J134</f>
        <v>80</v>
      </c>
      <c r="K287" s="18">
        <f>LNOP!K134</f>
        <v>77</v>
      </c>
      <c r="L287" s="25">
        <f>LNOP!L134</f>
        <v>1982</v>
      </c>
      <c r="M287" s="36" t="str">
        <f>LNOP!M134</f>
        <v>.16-05</v>
      </c>
      <c r="N287" s="25">
        <f>LNOP!N134</f>
        <v>2701.75</v>
      </c>
      <c r="O287" s="73" t="str">
        <f>LNOP!O134</f>
        <v>.16-03</v>
      </c>
      <c r="P287" s="25">
        <f>LNOP!P134</f>
        <v>2570</v>
      </c>
      <c r="Q287" s="36" t="str">
        <f>LNOP!Q134</f>
        <v>.13-09</v>
      </c>
      <c r="R287" s="31" t="str">
        <f>LNOP!R134</f>
        <v>keh</v>
      </c>
      <c r="S287" s="25" t="str">
        <f>LNOP!S134</f>
        <v xml:space="preserve"> </v>
      </c>
      <c r="T287" s="36" t="str">
        <f>LNOP!T134</f>
        <v xml:space="preserve"> </v>
      </c>
      <c r="U287" s="31" t="str">
        <f>LNOP!U134</f>
        <v xml:space="preserve"> </v>
      </c>
    </row>
    <row r="288" spans="1:21">
      <c r="A288" s="143" t="str">
        <f>EFp!A43</f>
        <v>Canon</v>
      </c>
      <c r="B288" s="11" t="str">
        <f>EFp!B43</f>
        <v>EF 135/2 L USM</v>
      </c>
      <c r="C288" s="16">
        <f>EFp!C43</f>
        <v>135</v>
      </c>
      <c r="D288" s="18">
        <f>EFp!D43</f>
        <v>2</v>
      </c>
      <c r="E288" s="31">
        <f>EFp!E43</f>
        <v>216</v>
      </c>
      <c r="F288" s="16" t="str">
        <f>EFp!F43</f>
        <v>EF</v>
      </c>
      <c r="G288" s="58">
        <f>EFp!G43</f>
        <v>0.9</v>
      </c>
      <c r="H288" s="53">
        <f>EFp!H43</f>
        <v>0.75</v>
      </c>
      <c r="I288" s="16">
        <f>EFp!I43</f>
        <v>112</v>
      </c>
      <c r="J288" s="16">
        <f>EFp!J43</f>
        <v>82.5</v>
      </c>
      <c r="K288" s="18">
        <f>EFp!K43</f>
        <v>72</v>
      </c>
      <c r="L288" s="25">
        <f>EFp!L43</f>
        <v>660.36363636363637</v>
      </c>
      <c r="M288" s="36" t="str">
        <f>EFp!M43</f>
        <v>.16-05</v>
      </c>
      <c r="N288" s="25">
        <f>EFp!N43</f>
        <v>775.9</v>
      </c>
      <c r="O288" s="73" t="str">
        <f>EFp!O43</f>
        <v>.16-05</v>
      </c>
      <c r="P288" s="25">
        <f>EFp!P43</f>
        <v>822</v>
      </c>
      <c r="Q288" s="36" t="str">
        <f>EFp!Q43</f>
        <v>.15-04</v>
      </c>
      <c r="R288" s="31" t="str">
        <f>EFp!R43</f>
        <v>keh</v>
      </c>
      <c r="S288" s="25">
        <f>EFp!S43</f>
        <v>825</v>
      </c>
      <c r="T288" s="36" t="str">
        <f>EFp!T43</f>
        <v>.16-01</v>
      </c>
      <c r="U288" s="31" t="str">
        <f>EFp!U43</f>
        <v>camW</v>
      </c>
    </row>
    <row r="289" spans="1:21">
      <c r="A289" s="143" t="str">
        <f>CZ.V!A29</f>
        <v>Carl Zeiss</v>
      </c>
      <c r="B289" s="11" t="str">
        <f>CZ.V!B29</f>
        <v>Apo Sonnar T* 135/2 ZE</v>
      </c>
      <c r="C289" s="16">
        <f>CZ.V!C29</f>
        <v>135</v>
      </c>
      <c r="D289" s="18">
        <f>CZ.V!D29</f>
        <v>2</v>
      </c>
      <c r="E289" s="31">
        <f>CZ.V!E29</f>
        <v>216</v>
      </c>
      <c r="F289" s="16" t="str">
        <f>CZ.V!F29</f>
        <v>ZE</v>
      </c>
      <c r="G289" s="58">
        <f>CZ.V!G29</f>
        <v>0.8</v>
      </c>
      <c r="H289" s="53">
        <f>CZ.V!H29</f>
        <v>0.93</v>
      </c>
      <c r="I289" s="16">
        <f>CZ.V!I29</f>
        <v>108</v>
      </c>
      <c r="J289" s="16">
        <f>CZ.V!J29</f>
        <v>84</v>
      </c>
      <c r="K289" s="18">
        <f>CZ.V!K29</f>
        <v>77</v>
      </c>
      <c r="L289" s="25">
        <f>CZ.V!L29</f>
        <v>1136.5</v>
      </c>
      <c r="M289" s="36" t="str">
        <f>CZ.V!M29</f>
        <v>.16-05</v>
      </c>
      <c r="N289" s="25">
        <f>CZ.V!N29</f>
        <v>1549.5</v>
      </c>
      <c r="O289" s="73" t="str">
        <f>CZ.V!O29</f>
        <v>.16-04</v>
      </c>
      <c r="P289" s="25">
        <f>CZ.V!P29</f>
        <v>1600</v>
      </c>
      <c r="Q289" s="36" t="str">
        <f>CZ.V!Q29</f>
        <v>.16-05</v>
      </c>
      <c r="R289" s="31" t="str">
        <f>CZ.V!R29</f>
        <v>keh</v>
      </c>
      <c r="S289" s="25">
        <f>CZ.V!S29</f>
        <v>1672</v>
      </c>
      <c r="T289" s="36" t="str">
        <f>CZ.V!T29</f>
        <v>.16-05</v>
      </c>
      <c r="U289" s="31" t="str">
        <f>CZ.V!U29</f>
        <v>keh</v>
      </c>
    </row>
    <row r="290" spans="1:21">
      <c r="A290" s="143" t="str">
        <f>CZ.V!A56</f>
        <v>Carl Zeiss</v>
      </c>
      <c r="B290" s="11" t="str">
        <f>CZ.V!B56</f>
        <v>Planar T* 135/2 CY</v>
      </c>
      <c r="C290" s="16">
        <f>CZ.V!C56</f>
        <v>135</v>
      </c>
      <c r="D290" s="18">
        <f>CZ.V!D56</f>
        <v>2</v>
      </c>
      <c r="E290" s="31">
        <f>CZ.V!E56</f>
        <v>216</v>
      </c>
      <c r="F290" s="16" t="str">
        <f>CZ.V!F56</f>
        <v>CY</v>
      </c>
      <c r="G290" s="58">
        <f>CZ.V!G56</f>
        <v>1.5</v>
      </c>
      <c r="H290" s="53">
        <f>CZ.V!H56</f>
        <v>0.79</v>
      </c>
      <c r="I290" s="16">
        <f>CZ.V!I56</f>
        <v>101</v>
      </c>
      <c r="J290" s="16">
        <f>CZ.V!J56</f>
        <v>75</v>
      </c>
      <c r="K290" s="18">
        <f>CZ.V!K56</f>
        <v>72</v>
      </c>
      <c r="L290" s="25">
        <f>CZ.V!L56</f>
        <v>832.5</v>
      </c>
      <c r="M290" s="36" t="str">
        <f>CZ.V!M56</f>
        <v>.16-05</v>
      </c>
      <c r="N290" s="25">
        <f>CZ.V!N56</f>
        <v>1251.7</v>
      </c>
      <c r="O290" s="73" t="str">
        <f>CZ.V!O56</f>
        <v>.16-03</v>
      </c>
      <c r="P290" s="25">
        <f>CZ.V!P56</f>
        <v>1600</v>
      </c>
      <c r="Q290" s="36" t="str">
        <f>CZ.V!Q56</f>
        <v>.15-01</v>
      </c>
      <c r="R290" s="31" t="str">
        <f>CZ.V!R56</f>
        <v>kevin</v>
      </c>
      <c r="S290" s="25">
        <f>CZ.V!S56</f>
        <v>2100</v>
      </c>
      <c r="T290" s="36" t="str">
        <f>CZ.V!T56</f>
        <v>.15-01</v>
      </c>
      <c r="U290" s="31" t="str">
        <f>CZ.V!U56</f>
        <v>kevin</v>
      </c>
    </row>
    <row r="291" spans="1:21">
      <c r="A291" s="143" t="str">
        <f>LNOP!A57</f>
        <v>Nikon</v>
      </c>
      <c r="B291" s="11" t="str">
        <f>LNOP!B57</f>
        <v xml:space="preserve">Nikkor 135/2 AIS </v>
      </c>
      <c r="C291" s="16">
        <f>LNOP!C57</f>
        <v>135</v>
      </c>
      <c r="D291" s="18">
        <f>LNOP!D57</f>
        <v>2</v>
      </c>
      <c r="E291" s="31">
        <f>LNOP!E57</f>
        <v>216</v>
      </c>
      <c r="F291" s="16" t="str">
        <f>LNOP!F57</f>
        <v>AIS</v>
      </c>
      <c r="G291" s="58">
        <f>LNOP!G57</f>
        <v>1.3</v>
      </c>
      <c r="H291" s="53">
        <f>LNOP!H57</f>
        <v>0.86</v>
      </c>
      <c r="I291" s="16">
        <f>LNOP!I57</f>
        <v>93.5</v>
      </c>
      <c r="J291" s="16">
        <f>LNOP!J57</f>
        <v>80.5</v>
      </c>
      <c r="K291" s="18">
        <f>LNOP!K57</f>
        <v>72</v>
      </c>
      <c r="L291" s="25">
        <f>LNOP!L57</f>
        <v>375.88888888888891</v>
      </c>
      <c r="M291" s="36" t="str">
        <f>LNOP!M57</f>
        <v>.16-03</v>
      </c>
      <c r="N291" s="25">
        <f>LNOP!N57</f>
        <v>553.81818181818187</v>
      </c>
      <c r="O291" s="73" t="str">
        <f>LNOP!O57</f>
        <v>.16-05</v>
      </c>
      <c r="P291" s="25">
        <f>LNOP!P57</f>
        <v>650</v>
      </c>
      <c r="Q291" s="36" t="str">
        <f>LNOP!Q57</f>
        <v>.16-01</v>
      </c>
      <c r="R291" s="31" t="str">
        <f>LNOP!R57</f>
        <v>b&amp;h</v>
      </c>
      <c r="S291" s="25">
        <f>LNOP!S57</f>
        <v>750</v>
      </c>
      <c r="T291" s="36" t="str">
        <f>LNOP!T57</f>
        <v>.11-10</v>
      </c>
      <c r="U291" s="31" t="str">
        <f>LNOP!U57</f>
        <v>ado</v>
      </c>
    </row>
    <row r="292" spans="1:21">
      <c r="A292" s="143" t="str">
        <f>LNOP!A180</f>
        <v>Komura</v>
      </c>
      <c r="B292" s="11" t="str">
        <f>LNOP!B180</f>
        <v>135/2</v>
      </c>
      <c r="C292" s="16">
        <f>LNOP!C180</f>
        <v>135</v>
      </c>
      <c r="D292" s="18">
        <f>LNOP!D180</f>
        <v>2</v>
      </c>
      <c r="E292" s="31">
        <f>LNOP!E180</f>
        <v>216</v>
      </c>
      <c r="F292" s="16" t="str">
        <f>LNOP!F180</f>
        <v>x</v>
      </c>
      <c r="G292" s="58">
        <f>LNOP!G180</f>
        <v>1.524</v>
      </c>
      <c r="H292" s="53">
        <f>LNOP!H180</f>
        <v>0.91</v>
      </c>
      <c r="I292" s="16">
        <f>LNOP!I180</f>
        <v>115</v>
      </c>
      <c r="J292" s="16" t="str">
        <f>LNOP!J180</f>
        <v xml:space="preserve"> </v>
      </c>
      <c r="K292" s="18">
        <f>LNOP!K180</f>
        <v>72</v>
      </c>
      <c r="L292" s="25">
        <f>LNOP!L180</f>
        <v>0</v>
      </c>
      <c r="M292" s="36" t="str">
        <f>LNOP!M180</f>
        <v xml:space="preserve"> </v>
      </c>
      <c r="N292" s="25">
        <f>LNOP!N180</f>
        <v>709</v>
      </c>
      <c r="O292" s="73" t="str">
        <f>LNOP!O180</f>
        <v>.16-01</v>
      </c>
      <c r="P292" s="25" t="str">
        <f>LNOP!P180</f>
        <v xml:space="preserve"> </v>
      </c>
      <c r="Q292" s="36" t="str">
        <f>LNOP!Q180</f>
        <v xml:space="preserve"> </v>
      </c>
      <c r="R292" s="31" t="str">
        <f>LNOP!R180</f>
        <v xml:space="preserve"> </v>
      </c>
      <c r="S292" s="25" t="str">
        <f>LNOP!S180</f>
        <v xml:space="preserve"> </v>
      </c>
      <c r="T292" s="36" t="str">
        <f>LNOP!T180</f>
        <v xml:space="preserve"> </v>
      </c>
      <c r="U292" s="31" t="str">
        <f>LNOP!U180</f>
        <v xml:space="preserve"> </v>
      </c>
    </row>
    <row r="293" spans="1:21">
      <c r="A293" s="143" t="str">
        <f>LNOP!A158</f>
        <v>Rokinon</v>
      </c>
      <c r="B293" s="11" t="str">
        <f>LNOP!B158</f>
        <v>135/2 ED UMC</v>
      </c>
      <c r="C293" s="16">
        <f>LNOP!C158</f>
        <v>135</v>
      </c>
      <c r="D293" s="18">
        <f>LNOP!D158</f>
        <v>2</v>
      </c>
      <c r="E293" s="31">
        <f>LNOP!E158</f>
        <v>216</v>
      </c>
      <c r="F293" s="16" t="str">
        <f>LNOP!F158</f>
        <v>x</v>
      </c>
      <c r="G293" s="58">
        <f>LNOP!G158</f>
        <v>0.8</v>
      </c>
      <c r="H293" s="53">
        <f>LNOP!H158</f>
        <v>0.83</v>
      </c>
      <c r="I293" s="16">
        <f>LNOP!I158</f>
        <v>122</v>
      </c>
      <c r="J293" s="16">
        <f>LNOP!J158</f>
        <v>82</v>
      </c>
      <c r="K293" s="18">
        <f>LNOP!K158</f>
        <v>77</v>
      </c>
      <c r="L293" s="25" t="str">
        <f>LNOP!L158</f>
        <v xml:space="preserve"> </v>
      </c>
      <c r="M293" s="36" t="str">
        <f>LNOP!M158</f>
        <v xml:space="preserve"> </v>
      </c>
      <c r="N293" s="25">
        <f>LNOP!N158</f>
        <v>401.5</v>
      </c>
      <c r="O293" s="73" t="str">
        <f>LNOP!O158</f>
        <v>.16-05</v>
      </c>
      <c r="P293" s="25" t="str">
        <f>LNOP!P158</f>
        <v xml:space="preserve"> </v>
      </c>
      <c r="Q293" s="36" t="str">
        <f>LNOP!Q158</f>
        <v xml:space="preserve"> </v>
      </c>
      <c r="R293" s="31" t="str">
        <f>LNOP!R158</f>
        <v xml:space="preserve"> </v>
      </c>
      <c r="S293" s="25">
        <f>LNOP!S158</f>
        <v>550</v>
      </c>
      <c r="T293" s="36" t="str">
        <f>LNOP!T158</f>
        <v>.15-07</v>
      </c>
      <c r="U293" s="31" t="str">
        <f>LNOP!U158</f>
        <v>b&amp;h</v>
      </c>
    </row>
    <row r="294" spans="1:21">
      <c r="A294" s="143" t="str">
        <f>LNOP!A106</f>
        <v>Pentax</v>
      </c>
      <c r="B294" s="11" t="str">
        <f>LNOP!B106</f>
        <v>SMC Takumar 135/2.5</v>
      </c>
      <c r="C294" s="16">
        <f>LNOP!C106</f>
        <v>135</v>
      </c>
      <c r="D294" s="18">
        <f>LNOP!D106</f>
        <v>2.5</v>
      </c>
      <c r="E294" s="31">
        <f>LNOP!E106</f>
        <v>216</v>
      </c>
      <c r="F294" s="16" t="str">
        <f>LNOP!F106</f>
        <v>M42</v>
      </c>
      <c r="G294" s="58">
        <f>LNOP!G106</f>
        <v>1.5</v>
      </c>
      <c r="H294" s="53">
        <f>LNOP!H106</f>
        <v>0.44400000000000001</v>
      </c>
      <c r="I294" s="16">
        <f>LNOP!I106</f>
        <v>86</v>
      </c>
      <c r="J294" s="16">
        <f>LNOP!J106</f>
        <v>67</v>
      </c>
      <c r="K294" s="18">
        <f>LNOP!K106</f>
        <v>58</v>
      </c>
      <c r="L294" s="25">
        <f>LNOP!L106</f>
        <v>159.33333333333334</v>
      </c>
      <c r="M294" s="36" t="str">
        <f>LNOP!M106</f>
        <v>.16-05</v>
      </c>
      <c r="N294" s="25">
        <f>LNOP!N106</f>
        <v>249.36363636363637</v>
      </c>
      <c r="O294" s="73" t="str">
        <f>LNOP!O106</f>
        <v>.16-05</v>
      </c>
      <c r="P294" s="25">
        <f>LNOP!P106</f>
        <v>140</v>
      </c>
      <c r="Q294" s="36" t="str">
        <f>LNOP!Q106</f>
        <v>.15-04</v>
      </c>
      <c r="R294" s="31" t="str">
        <f>LNOP!R106</f>
        <v>keh</v>
      </c>
      <c r="S294" s="25">
        <f>LNOP!S106</f>
        <v>195</v>
      </c>
      <c r="T294" s="36" t="str">
        <f>LNOP!T106</f>
        <v>.13-05</v>
      </c>
      <c r="U294" s="31" t="str">
        <f>LNOP!U106</f>
        <v>camW</v>
      </c>
    </row>
    <row r="295" spans="1:21">
      <c r="A295" s="143" t="str">
        <f>LNOP!A135</f>
        <v>Pentax</v>
      </c>
      <c r="B295" s="11" t="str">
        <f>LNOP!B135</f>
        <v>SMC Pentax 135/2.5</v>
      </c>
      <c r="C295" s="16">
        <f>LNOP!C135</f>
        <v>135</v>
      </c>
      <c r="D295" s="18">
        <f>LNOP!D135</f>
        <v>2.5</v>
      </c>
      <c r="E295" s="31">
        <f>LNOP!E135</f>
        <v>216</v>
      </c>
      <c r="F295" s="16" t="str">
        <f>LNOP!F135</f>
        <v>K</v>
      </c>
      <c r="G295" s="58">
        <f>LNOP!G135</f>
        <v>1.5</v>
      </c>
      <c r="H295" s="53">
        <f>LNOP!H135</f>
        <v>0.5</v>
      </c>
      <c r="I295" s="16">
        <f>LNOP!I135</f>
        <v>86</v>
      </c>
      <c r="J295" s="16">
        <f>LNOP!J135</f>
        <v>68</v>
      </c>
      <c r="K295" s="18">
        <f>LNOP!K135</f>
        <v>58</v>
      </c>
      <c r="L295" s="25">
        <f>LNOP!L135</f>
        <v>176</v>
      </c>
      <c r="M295" s="36" t="str">
        <f>LNOP!M135</f>
        <v>.16-05</v>
      </c>
      <c r="N295" s="25">
        <f>LNOP!N135</f>
        <v>263</v>
      </c>
      <c r="O295" s="73" t="str">
        <f>LNOP!O135</f>
        <v>.15-12</v>
      </c>
      <c r="P295" s="25">
        <f>LNOP!P135</f>
        <v>98.04</v>
      </c>
      <c r="Q295" s="36" t="str">
        <f>LNOP!Q135</f>
        <v>.15-04</v>
      </c>
      <c r="R295" s="31" t="str">
        <f>LNOP!R135</f>
        <v>ctc</v>
      </c>
      <c r="S295" s="25">
        <f>LNOP!S135</f>
        <v>130</v>
      </c>
      <c r="T295" s="36" t="str">
        <f>LNOP!T135</f>
        <v>.15-04</v>
      </c>
      <c r="U295" s="31" t="str">
        <f>LNOP!U135</f>
        <v>b&amp;h</v>
      </c>
    </row>
    <row r="296" spans="1:21">
      <c r="A296" s="143" t="str">
        <f>LNOP!A169</f>
        <v>Fuji Photo</v>
      </c>
      <c r="B296" s="11" t="str">
        <f>LNOP!B169</f>
        <v>EBC Fujinon-T 135/2.5</v>
      </c>
      <c r="C296" s="16">
        <f>LNOP!C169</f>
        <v>135</v>
      </c>
      <c r="D296" s="18">
        <f>LNOP!D169</f>
        <v>2.5</v>
      </c>
      <c r="E296" s="31">
        <f>LNOP!E169</f>
        <v>216</v>
      </c>
      <c r="F296" s="16" t="str">
        <f>LNOP!F169</f>
        <v>M42</v>
      </c>
      <c r="G296" s="58">
        <f>LNOP!G169</f>
        <v>1.5</v>
      </c>
      <c r="H296" s="53">
        <f>LNOP!H169</f>
        <v>0.432</v>
      </c>
      <c r="I296" s="16">
        <f>LNOP!I169</f>
        <v>80</v>
      </c>
      <c r="J296" s="16">
        <f>LNOP!J169</f>
        <v>66</v>
      </c>
      <c r="K296" s="18">
        <f>LNOP!K169</f>
        <v>58</v>
      </c>
      <c r="L296" s="25">
        <f>LNOP!L169</f>
        <v>165.66666666666666</v>
      </c>
      <c r="M296" s="36" t="str">
        <f>LNOP!M169</f>
        <v>.16-03</v>
      </c>
      <c r="N296" s="25">
        <f>LNOP!N169</f>
        <v>276</v>
      </c>
      <c r="O296" s="73" t="str">
        <f>LNOP!O169</f>
        <v>.16-05</v>
      </c>
      <c r="P296" s="25">
        <f>LNOP!P169</f>
        <v>1809</v>
      </c>
      <c r="Q296" s="36" t="str">
        <f>LNOP!Q169</f>
        <v>.16-05</v>
      </c>
      <c r="R296" s="31" t="str">
        <f>LNOP!R169</f>
        <v>kenmore</v>
      </c>
      <c r="S296" s="25" t="str">
        <f>LNOP!S169</f>
        <v xml:space="preserve"> </v>
      </c>
      <c r="T296" s="36" t="str">
        <f>LNOP!T169</f>
        <v xml:space="preserve"> </v>
      </c>
      <c r="U296" s="31" t="str">
        <f>LNOP!U169</f>
        <v xml:space="preserve"> </v>
      </c>
    </row>
    <row r="297" spans="1:21">
      <c r="A297" s="143" t="str">
        <f>EFp!A44</f>
        <v>Canon</v>
      </c>
      <c r="B297" s="11" t="str">
        <f>EFp!B44</f>
        <v xml:space="preserve">EF 135/2.8 Soft </v>
      </c>
      <c r="C297" s="16">
        <f>EFp!C44</f>
        <v>135</v>
      </c>
      <c r="D297" s="18">
        <f>EFp!D44</f>
        <v>2.8</v>
      </c>
      <c r="E297" s="31">
        <f>EFp!E44</f>
        <v>216</v>
      </c>
      <c r="F297" s="16" t="str">
        <f>EFp!F44</f>
        <v>EF</v>
      </c>
      <c r="G297" s="58">
        <f>EFp!G44</f>
        <v>1.3</v>
      </c>
      <c r="H297" s="53">
        <f>EFp!H44</f>
        <v>0.39</v>
      </c>
      <c r="I297" s="16">
        <f>EFp!I44</f>
        <v>98.4</v>
      </c>
      <c r="J297" s="16">
        <f>EFp!J44</f>
        <v>69.2</v>
      </c>
      <c r="K297" s="18">
        <f>EFp!K44</f>
        <v>52</v>
      </c>
      <c r="L297" s="25">
        <f>EFp!L44</f>
        <v>153.80000000000001</v>
      </c>
      <c r="M297" s="36" t="str">
        <f>EFp!M44</f>
        <v>.16-05</v>
      </c>
      <c r="N297" s="25">
        <f>EFp!N44</f>
        <v>212.41666666666666</v>
      </c>
      <c r="O297" s="73" t="str">
        <f>EFp!O44</f>
        <v>.16-05</v>
      </c>
      <c r="P297" s="25">
        <f>EFp!P44</f>
        <v>248</v>
      </c>
      <c r="Q297" s="36" t="str">
        <f>EFp!Q44</f>
        <v>.14-08</v>
      </c>
      <c r="R297" s="31" t="str">
        <f>EFp!R44</f>
        <v>keh</v>
      </c>
      <c r="S297" s="25">
        <f>EFp!S44</f>
        <v>300</v>
      </c>
      <c r="T297" s="36" t="str">
        <f>EFp!T44</f>
        <v>.16-01</v>
      </c>
      <c r="U297" s="31" t="str">
        <f>EFp!U44</f>
        <v>keh</v>
      </c>
    </row>
    <row r="298" spans="1:21">
      <c r="A298" s="143" t="str">
        <f>CZ.V!A57</f>
        <v>Carl Zeiss</v>
      </c>
      <c r="B298" s="11" t="str">
        <f>CZ.V!B57</f>
        <v>Sonnar T* 135/2.8 CY</v>
      </c>
      <c r="C298" s="16">
        <f>CZ.V!C57</f>
        <v>135</v>
      </c>
      <c r="D298" s="18">
        <f>CZ.V!D57</f>
        <v>2.8</v>
      </c>
      <c r="E298" s="31">
        <f>CZ.V!E57</f>
        <v>216</v>
      </c>
      <c r="F298" s="16" t="str">
        <f>CZ.V!F57</f>
        <v>CY</v>
      </c>
      <c r="G298" s="58">
        <f>CZ.V!G57</f>
        <v>1.6</v>
      </c>
      <c r="H298" s="53">
        <f>CZ.V!H57</f>
        <v>0.58499999999999996</v>
      </c>
      <c r="I298" s="16">
        <f>CZ.V!I57</f>
        <v>93</v>
      </c>
      <c r="J298" s="16">
        <f>CZ.V!J57</f>
        <v>68.5</v>
      </c>
      <c r="K298" s="18">
        <f>CZ.V!K57</f>
        <v>55</v>
      </c>
      <c r="L298" s="25">
        <f>CZ.V!L57</f>
        <v>198.92307692307693</v>
      </c>
      <c r="M298" s="36" t="str">
        <f>CZ.V!M57</f>
        <v>.16-05</v>
      </c>
      <c r="N298" s="25">
        <f>CZ.V!N57</f>
        <v>299</v>
      </c>
      <c r="O298" s="73" t="str">
        <f>CZ.V!O57</f>
        <v>.16-04</v>
      </c>
      <c r="P298" s="25">
        <f>CZ.V!P57</f>
        <v>200</v>
      </c>
      <c r="Q298" s="36" t="str">
        <f>CZ.V!Q57</f>
        <v>.16-05</v>
      </c>
      <c r="R298" s="31" t="str">
        <f>CZ.V!R57</f>
        <v>keh</v>
      </c>
      <c r="S298" s="25">
        <f>CZ.V!S57</f>
        <v>325</v>
      </c>
      <c r="T298" s="36" t="str">
        <f>CZ.V!T57</f>
        <v>.16-01</v>
      </c>
      <c r="U298" s="31" t="str">
        <f>CZ.V!U57</f>
        <v>camW</v>
      </c>
    </row>
    <row r="299" spans="1:21">
      <c r="A299" s="143" t="str">
        <f>LNOP!A30</f>
        <v>Leica</v>
      </c>
      <c r="B299" s="11" t="str">
        <f>LNOP!B30</f>
        <v xml:space="preserve">Elmarit-R 135/2.8 </v>
      </c>
      <c r="C299" s="16">
        <f>LNOP!C30</f>
        <v>135</v>
      </c>
      <c r="D299" s="18">
        <f>LNOP!D30</f>
        <v>2.8</v>
      </c>
      <c r="E299" s="31">
        <f>LNOP!E30</f>
        <v>216</v>
      </c>
      <c r="F299" s="16" t="str">
        <f>LNOP!F30</f>
        <v>LR</v>
      </c>
      <c r="G299" s="58">
        <f>LNOP!G30</f>
        <v>1.5</v>
      </c>
      <c r="H299" s="53">
        <f>LNOP!H30</f>
        <v>0.73</v>
      </c>
      <c r="I299" s="16">
        <f>LNOP!I30</f>
        <v>93</v>
      </c>
      <c r="J299" s="16">
        <f>LNOP!J30</f>
        <v>67</v>
      </c>
      <c r="K299" s="18">
        <f>LNOP!K30</f>
        <v>55</v>
      </c>
      <c r="L299" s="25">
        <f>LNOP!L30</f>
        <v>230.9</v>
      </c>
      <c r="M299" s="36" t="str">
        <f>LNOP!M30</f>
        <v>.16-05</v>
      </c>
      <c r="N299" s="25">
        <f>LNOP!N30</f>
        <v>351.66666666666669</v>
      </c>
      <c r="O299" s="73" t="str">
        <f>LNOP!O30</f>
        <v>.16-03</v>
      </c>
      <c r="P299" s="25">
        <f>LNOP!P30</f>
        <v>247</v>
      </c>
      <c r="Q299" s="36" t="str">
        <f>LNOP!Q30</f>
        <v>.16-01</v>
      </c>
      <c r="R299" s="31" t="str">
        <f>LNOP!R30</f>
        <v>v.v</v>
      </c>
      <c r="S299" s="25">
        <f>LNOP!S30</f>
        <v>420</v>
      </c>
      <c r="T299" s="36" t="str">
        <f>LNOP!T30</f>
        <v>.16-01</v>
      </c>
      <c r="U299" s="31" t="str">
        <f>LNOP!U30</f>
        <v>igor</v>
      </c>
    </row>
    <row r="300" spans="1:21">
      <c r="A300" s="143" t="str">
        <f>CZ.V!A95</f>
        <v>Zeiss Jena</v>
      </c>
      <c r="B300" s="11" t="str">
        <f>CZ.V!B95</f>
        <v>Sonnar MC 135/3.5</v>
      </c>
      <c r="C300" s="16">
        <f>CZ.V!C95</f>
        <v>135</v>
      </c>
      <c r="D300" s="18">
        <f>CZ.V!D95</f>
        <v>3.5</v>
      </c>
      <c r="E300" s="31">
        <f>CZ.V!E95</f>
        <v>216</v>
      </c>
      <c r="F300" s="16" t="str">
        <f>CZ.V!F95</f>
        <v>M42</v>
      </c>
      <c r="G300" s="58">
        <f>CZ.V!G95</f>
        <v>1</v>
      </c>
      <c r="H300" s="53">
        <f>CZ.V!H95</f>
        <v>0.375</v>
      </c>
      <c r="I300" s="16">
        <f>CZ.V!I95</f>
        <v>82</v>
      </c>
      <c r="J300" s="16" t="str">
        <f>CZ.V!J95</f>
        <v xml:space="preserve"> </v>
      </c>
      <c r="K300" s="18">
        <f>CZ.V!K95</f>
        <v>49</v>
      </c>
      <c r="L300" s="25">
        <f>CZ.V!L95</f>
        <v>129.09090909090909</v>
      </c>
      <c r="M300" s="36" t="str">
        <f>CZ.V!M95</f>
        <v>.16-04</v>
      </c>
      <c r="N300" s="25">
        <f>CZ.V!N95</f>
        <v>185.54545454545453</v>
      </c>
      <c r="O300" s="73" t="str">
        <f>CZ.V!O95</f>
        <v>.16-04</v>
      </c>
      <c r="P300" s="25">
        <f>CZ.V!P95</f>
        <v>75</v>
      </c>
      <c r="Q300" s="36" t="str">
        <f>CZ.V!Q95</f>
        <v>.15-11</v>
      </c>
      <c r="R300" s="31" t="str">
        <f>CZ.V!R95</f>
        <v>igor</v>
      </c>
      <c r="S300" s="25" t="str">
        <f>CZ.V!S95</f>
        <v xml:space="preserve"> </v>
      </c>
      <c r="T300" s="36" t="str">
        <f>CZ.V!T95</f>
        <v xml:space="preserve"> </v>
      </c>
      <c r="U300" s="31" t="str">
        <f>CZ.V!U95</f>
        <v xml:space="preserve"> </v>
      </c>
    </row>
    <row r="301" spans="1:21">
      <c r="A301" s="143" t="str">
        <f>LNOP!A136</f>
        <v>Pentax</v>
      </c>
      <c r="B301" s="11" t="str">
        <f>LNOP!B136</f>
        <v>SMC Pentax-M 135/3.5</v>
      </c>
      <c r="C301" s="16">
        <f>LNOP!C136</f>
        <v>135</v>
      </c>
      <c r="D301" s="18">
        <f>LNOP!D136</f>
        <v>3.5</v>
      </c>
      <c r="E301" s="31">
        <f>LNOP!E136</f>
        <v>216</v>
      </c>
      <c r="F301" s="16" t="str">
        <f>LNOP!F136</f>
        <v>K</v>
      </c>
      <c r="G301" s="58">
        <f>LNOP!G136</f>
        <v>1.5</v>
      </c>
      <c r="H301" s="53">
        <f>LNOP!H136</f>
        <v>0.27</v>
      </c>
      <c r="I301" s="16">
        <f>LNOP!I136</f>
        <v>66</v>
      </c>
      <c r="J301" s="16">
        <f>LNOP!J136</f>
        <v>63</v>
      </c>
      <c r="K301" s="18">
        <f>LNOP!K136</f>
        <v>49</v>
      </c>
      <c r="L301" s="25">
        <f>LNOP!L136</f>
        <v>51.333333333333336</v>
      </c>
      <c r="M301" s="36" t="str">
        <f>LNOP!M136</f>
        <v>.12-02</v>
      </c>
      <c r="N301" s="25">
        <f>LNOP!N136</f>
        <v>124.33333333333333</v>
      </c>
      <c r="O301" s="73" t="str">
        <f>LNOP!O136</f>
        <v>.16-01</v>
      </c>
      <c r="P301" s="25">
        <f>LNOP!P136</f>
        <v>80</v>
      </c>
      <c r="Q301" s="36" t="str">
        <f>LNOP!Q136</f>
        <v>.16-01</v>
      </c>
      <c r="R301" s="31" t="str">
        <f>LNOP!R136</f>
        <v>b&amp;h</v>
      </c>
      <c r="S301" s="25" t="str">
        <f>LNOP!S136</f>
        <v xml:space="preserve"> </v>
      </c>
      <c r="T301" s="36" t="str">
        <f>LNOP!T136</f>
        <v xml:space="preserve"> </v>
      </c>
      <c r="U301" s="31" t="str">
        <f>LNOP!U136</f>
        <v xml:space="preserve"> </v>
      </c>
    </row>
    <row r="302" spans="1:21">
      <c r="A302" s="144" t="str">
        <f>LNOP!A88</f>
        <v>Olympus</v>
      </c>
      <c r="B302" s="22" t="str">
        <f>LNOP!B88</f>
        <v>Zuiko 135/4.5 MC Macro</v>
      </c>
      <c r="C302" s="27">
        <f>LNOP!C88</f>
        <v>135</v>
      </c>
      <c r="D302" s="41">
        <f>LNOP!D88</f>
        <v>4.5</v>
      </c>
      <c r="E302" s="33">
        <f>LNOP!E88</f>
        <v>216</v>
      </c>
      <c r="F302" s="27" t="str">
        <f>LNOP!F88</f>
        <v>OM</v>
      </c>
      <c r="G302" s="55" t="str">
        <f>LNOP!G88</f>
        <v>x</v>
      </c>
      <c r="H302" s="56">
        <f>LNOP!H88</f>
        <v>0.32</v>
      </c>
      <c r="I302" s="27">
        <f>LNOP!I88</f>
        <v>47</v>
      </c>
      <c r="J302" s="27">
        <f>LNOP!J88</f>
        <v>60</v>
      </c>
      <c r="K302" s="41">
        <f>LNOP!K88</f>
        <v>55</v>
      </c>
      <c r="L302" s="26">
        <f>LNOP!L88</f>
        <v>189.7</v>
      </c>
      <c r="M302" s="24" t="str">
        <f>LNOP!M88</f>
        <v>.16-01</v>
      </c>
      <c r="N302" s="26">
        <f>LNOP!N88</f>
        <v>312.83333333333331</v>
      </c>
      <c r="O302" s="124" t="str">
        <f>LNOP!O88</f>
        <v>.16-03</v>
      </c>
      <c r="P302" s="26">
        <f>LNOP!P88</f>
        <v>165</v>
      </c>
      <c r="Q302" s="24" t="str">
        <f>LNOP!Q88</f>
        <v>.15-04</v>
      </c>
      <c r="R302" s="33" t="str">
        <f>LNOP!R88</f>
        <v>ado</v>
      </c>
      <c r="S302" s="26">
        <f>LNOP!S88</f>
        <v>245</v>
      </c>
      <c r="T302" s="24" t="str">
        <f>LNOP!T88</f>
        <v>.13-04</v>
      </c>
      <c r="U302" s="33" t="str">
        <f>LNOP!U88</f>
        <v>keh</v>
      </c>
    </row>
    <row r="303" spans="1:21">
      <c r="A303" s="144" t="str">
        <f>'645'!A17</f>
        <v>Mamiya</v>
      </c>
      <c r="B303" s="22" t="str">
        <f>'645'!B17</f>
        <v>Mamiya-Sekor C 145/4 SF</v>
      </c>
      <c r="C303" s="27">
        <f>'645'!C17</f>
        <v>145</v>
      </c>
      <c r="D303" s="41" t="str">
        <f>'645'!D17</f>
        <v>4</v>
      </c>
      <c r="E303" s="33">
        <f>'645'!E17</f>
        <v>232</v>
      </c>
      <c r="F303" s="27" t="str">
        <f>'645'!F17</f>
        <v>M645</v>
      </c>
      <c r="G303" s="55">
        <f>'645'!G17</f>
        <v>1.2</v>
      </c>
      <c r="H303" s="56">
        <f>'645'!H17</f>
        <v>0.9</v>
      </c>
      <c r="I303" s="27">
        <f>'645'!I17</f>
        <v>116</v>
      </c>
      <c r="J303" s="27">
        <f>'645'!J17</f>
        <v>80</v>
      </c>
      <c r="K303" s="41">
        <f>'645'!K17</f>
        <v>77</v>
      </c>
      <c r="L303" s="26">
        <f>'645'!L17</f>
        <v>113.6</v>
      </c>
      <c r="M303" s="24" t="str">
        <f>'645'!M17</f>
        <v>.16-05</v>
      </c>
      <c r="N303" s="26">
        <f>'645'!N17</f>
        <v>216.91355555555555</v>
      </c>
      <c r="O303" s="124" t="str">
        <f>'645'!O17</f>
        <v>.16-01</v>
      </c>
      <c r="P303" s="26">
        <f>'645'!P17</f>
        <v>170</v>
      </c>
      <c r="Q303" s="24" t="str">
        <f>'645'!Q17</f>
        <v>.15-04</v>
      </c>
      <c r="R303" s="33" t="str">
        <f>'645'!R17</f>
        <v>ado</v>
      </c>
      <c r="S303" s="26">
        <f>'645'!S17</f>
        <v>400</v>
      </c>
      <c r="T303" s="24" t="str">
        <f>'645'!T17</f>
        <v>.16-01</v>
      </c>
      <c r="U303" s="33" t="str">
        <f>'645'!U17</f>
        <v>b&amp;h</v>
      </c>
    </row>
    <row r="304" spans="1:21">
      <c r="A304" s="143" t="str">
        <f>STT!A21</f>
        <v>Sigma</v>
      </c>
      <c r="B304" s="11" t="str">
        <f>STT!B21</f>
        <v>EX 150/2.8 DG APO Macro</v>
      </c>
      <c r="C304" s="16">
        <f>STT!C21</f>
        <v>150</v>
      </c>
      <c r="D304" s="18">
        <f>STT!D21</f>
        <v>2.8</v>
      </c>
      <c r="E304" s="31">
        <f>STT!E21</f>
        <v>240</v>
      </c>
      <c r="F304" s="16" t="str">
        <f>STT!F21</f>
        <v>EF</v>
      </c>
      <c r="G304" s="58">
        <f>STT!G21</f>
        <v>0.38</v>
      </c>
      <c r="H304" s="53">
        <f>STT!H21</f>
        <v>0.89500000000000002</v>
      </c>
      <c r="I304" s="16">
        <f>STT!I21</f>
        <v>137</v>
      </c>
      <c r="J304" s="16">
        <f>STT!J21</f>
        <v>79.599999999999994</v>
      </c>
      <c r="K304" s="18">
        <f>STT!K21</f>
        <v>72</v>
      </c>
      <c r="L304" s="25">
        <f>STT!L21</f>
        <v>389.2</v>
      </c>
      <c r="M304" s="36" t="str">
        <f>STT!M21</f>
        <v>.16-05</v>
      </c>
      <c r="N304" s="25">
        <f>STT!N21</f>
        <v>502</v>
      </c>
      <c r="O304" s="73" t="str">
        <f>STT!O21</f>
        <v>.16-04</v>
      </c>
      <c r="P304" s="25">
        <f>STT!P21</f>
        <v>480</v>
      </c>
      <c r="Q304" s="36" t="str">
        <f>STT!Q21</f>
        <v>.15-11</v>
      </c>
      <c r="R304" s="31" t="str">
        <f>STT!R21</f>
        <v>ado</v>
      </c>
      <c r="S304" s="25">
        <f>STT!S21</f>
        <v>600</v>
      </c>
      <c r="T304" s="36" t="str">
        <f>STT!T21</f>
        <v>.14-08</v>
      </c>
      <c r="U304" s="31" t="str">
        <f>STT!U21</f>
        <v>ado</v>
      </c>
    </row>
    <row r="305" spans="1:21">
      <c r="A305" s="143" t="str">
        <f>STT!A22</f>
        <v>Sigma</v>
      </c>
      <c r="B305" s="11" t="str">
        <f>STT!B22</f>
        <v>EX 150/2.8 DG APO Macro OS</v>
      </c>
      <c r="C305" s="16">
        <f>STT!C22</f>
        <v>150</v>
      </c>
      <c r="D305" s="18">
        <f>STT!D22</f>
        <v>2.8</v>
      </c>
      <c r="E305" s="31">
        <f>STT!E22</f>
        <v>240</v>
      </c>
      <c r="F305" s="16" t="str">
        <f>STT!F22</f>
        <v>EF</v>
      </c>
      <c r="G305" s="58">
        <f>STT!G22</f>
        <v>0.38</v>
      </c>
      <c r="H305" s="53">
        <f>STT!H22</f>
        <v>1.1499999999999999</v>
      </c>
      <c r="I305" s="16">
        <f>STT!I22</f>
        <v>149.9</v>
      </c>
      <c r="J305" s="16">
        <f>STT!J22</f>
        <v>79.599999999999994</v>
      </c>
      <c r="K305" s="18">
        <f>STT!K22</f>
        <v>72</v>
      </c>
      <c r="L305" s="25">
        <f>STT!L22</f>
        <v>723.33333333333337</v>
      </c>
      <c r="M305" s="36" t="str">
        <f>STT!M22</f>
        <v>.16-04</v>
      </c>
      <c r="N305" s="25">
        <f>STT!N22</f>
        <v>916.8</v>
      </c>
      <c r="O305" s="73" t="str">
        <f>STT!O22</f>
        <v>.14-08</v>
      </c>
      <c r="P305" s="25">
        <f>STT!P22</f>
        <v>700</v>
      </c>
      <c r="Q305" s="36" t="str">
        <f>STT!Q22</f>
        <v>.16-01</v>
      </c>
      <c r="R305" s="31" t="str">
        <f>STT!R22</f>
        <v>ado</v>
      </c>
      <c r="S305" s="25">
        <f>STT!S22</f>
        <v>852</v>
      </c>
      <c r="T305" s="36" t="str">
        <f>STT!T22</f>
        <v>.15-04</v>
      </c>
      <c r="U305" s="31" t="str">
        <f>STT!U22</f>
        <v>keh</v>
      </c>
    </row>
    <row r="306" spans="1:21">
      <c r="A306" s="143" t="str">
        <f>'645'!A18</f>
        <v>Mamiya</v>
      </c>
      <c r="B306" s="11" t="str">
        <f>'645'!B18</f>
        <v>Mamiya-Sekor C 150/3.5 N</v>
      </c>
      <c r="C306" s="16">
        <f>'645'!C18</f>
        <v>150</v>
      </c>
      <c r="D306" s="18">
        <f>'645'!D18</f>
        <v>3.5</v>
      </c>
      <c r="E306" s="31">
        <f>'645'!E18</f>
        <v>240</v>
      </c>
      <c r="F306" s="16" t="str">
        <f>'645'!F18</f>
        <v>M645</v>
      </c>
      <c r="G306" s="58">
        <f>'645'!G18</f>
        <v>1.5</v>
      </c>
      <c r="H306" s="53">
        <f>'645'!H18</f>
        <v>0.41499999999999998</v>
      </c>
      <c r="I306" s="16">
        <f>'645'!I18</f>
        <v>80</v>
      </c>
      <c r="J306" s="16">
        <f>'645'!J18</f>
        <v>70</v>
      </c>
      <c r="K306" s="18">
        <f>'645'!K18</f>
        <v>58</v>
      </c>
      <c r="L306" s="25">
        <f>'645'!L18</f>
        <v>107.55555555555556</v>
      </c>
      <c r="M306" s="36" t="str">
        <f>'645'!M18</f>
        <v>.16-05</v>
      </c>
      <c r="N306" s="25">
        <f>'645'!N18</f>
        <v>152.55555555555554</v>
      </c>
      <c r="O306" s="73" t="str">
        <f>'645'!O18</f>
        <v>.15-01</v>
      </c>
      <c r="P306" s="25">
        <f>'645'!P18</f>
        <v>75.239999999999995</v>
      </c>
      <c r="Q306" s="36" t="str">
        <f>'645'!Q18</f>
        <v>.16-03</v>
      </c>
      <c r="R306" s="31" t="str">
        <f>'645'!R18</f>
        <v>ctc</v>
      </c>
      <c r="S306" s="25">
        <f>'645'!S18</f>
        <v>130</v>
      </c>
      <c r="T306" s="36" t="str">
        <f>'645'!T18</f>
        <v>.16-01</v>
      </c>
      <c r="U306" s="31" t="str">
        <f>'645'!U18</f>
        <v>b&amp;h</v>
      </c>
    </row>
    <row r="307" spans="1:21">
      <c r="A307" s="143" t="str">
        <f>'645'!A24</f>
        <v>Mamiya</v>
      </c>
      <c r="B307" s="11" t="str">
        <f>'645'!B24</f>
        <v xml:space="preserve">Mamiya A 150/2.8 </v>
      </c>
      <c r="C307" s="16">
        <f>'645'!C24</f>
        <v>150</v>
      </c>
      <c r="D307" s="18" t="str">
        <f>'645'!D24</f>
        <v>2.8</v>
      </c>
      <c r="E307" s="31">
        <f>'645'!E24</f>
        <v>240</v>
      </c>
      <c r="F307" s="16" t="str">
        <f>'645'!F24</f>
        <v>M645</v>
      </c>
      <c r="G307" s="58">
        <f>'645'!G24</f>
        <v>1.5</v>
      </c>
      <c r="H307" s="53">
        <f>'645'!H24</f>
        <v>0.74</v>
      </c>
      <c r="I307" s="16">
        <f>'645'!I24</f>
        <v>107</v>
      </c>
      <c r="J307" s="16">
        <f>'645'!J24</f>
        <v>74.5</v>
      </c>
      <c r="K307" s="18">
        <f>'645'!K24</f>
        <v>67</v>
      </c>
      <c r="L307" s="25">
        <f>'645'!L24</f>
        <v>203.72727272727272</v>
      </c>
      <c r="M307" s="36" t="str">
        <f>'645'!M24</f>
        <v>.16-05</v>
      </c>
      <c r="N307" s="25">
        <f>'645'!N24</f>
        <v>310.25</v>
      </c>
      <c r="O307" s="73" t="str">
        <f>'645'!O24</f>
        <v>.15-12</v>
      </c>
      <c r="P307" s="25">
        <f>'645'!P24</f>
        <v>280</v>
      </c>
      <c r="Q307" s="36" t="str">
        <f>'645'!Q24</f>
        <v>.16-01</v>
      </c>
      <c r="R307" s="31" t="str">
        <f>'645'!R24</f>
        <v>keh</v>
      </c>
      <c r="S307" s="25" t="str">
        <f>'645'!S24</f>
        <v xml:space="preserve"> </v>
      </c>
      <c r="T307" s="36" t="str">
        <f>'645'!T24</f>
        <v xml:space="preserve"> </v>
      </c>
      <c r="U307" s="31" t="str">
        <f>'645'!U24</f>
        <v xml:space="preserve"> </v>
      </c>
    </row>
    <row r="308" spans="1:21">
      <c r="A308" s="144" t="str">
        <f>'645'!A34</f>
        <v>Sch-K</v>
      </c>
      <c r="B308" s="22" t="str">
        <f>'645'!B34</f>
        <v>Tele-Xenar MF 150/4</v>
      </c>
      <c r="C308" s="27">
        <f>'645'!C34</f>
        <v>150</v>
      </c>
      <c r="D308" s="41" t="str">
        <f>'645'!D34</f>
        <v>4</v>
      </c>
      <c r="E308" s="33">
        <f>'645'!E34</f>
        <v>240</v>
      </c>
      <c r="F308" s="27" t="str">
        <f>'645'!F34</f>
        <v>P6</v>
      </c>
      <c r="G308" s="55">
        <f>'645'!G34</f>
        <v>1.5</v>
      </c>
      <c r="H308" s="56">
        <f>'645'!H34</f>
        <v>0.76</v>
      </c>
      <c r="I308" s="27">
        <f>'645'!I34</f>
        <v>101</v>
      </c>
      <c r="J308" s="27">
        <f>'645'!J34</f>
        <v>84</v>
      </c>
      <c r="K308" s="41">
        <f>'645'!K34</f>
        <v>67</v>
      </c>
      <c r="L308" s="26">
        <f>'645'!L34</f>
        <v>539.66666666666663</v>
      </c>
      <c r="M308" s="24" t="str">
        <f>'645'!M34</f>
        <v>.15-01</v>
      </c>
      <c r="N308" s="26">
        <f>'645'!N34</f>
        <v>988</v>
      </c>
      <c r="O308" s="124" t="str">
        <f>'645'!O34</f>
        <v>.15-08</v>
      </c>
      <c r="P308" s="26" t="str">
        <f>'645'!P34</f>
        <v xml:space="preserve"> </v>
      </c>
      <c r="Q308" s="24" t="str">
        <f>'645'!Q34</f>
        <v xml:space="preserve"> </v>
      </c>
      <c r="R308" s="33" t="str">
        <f>'645'!R34</f>
        <v xml:space="preserve"> </v>
      </c>
      <c r="S308" s="26" t="str">
        <f>'645'!S34</f>
        <v xml:space="preserve"> </v>
      </c>
      <c r="T308" s="24" t="str">
        <f>'645'!T34</f>
        <v xml:space="preserve"> </v>
      </c>
      <c r="U308" s="33" t="str">
        <f>'645'!U34</f>
        <v xml:space="preserve"> </v>
      </c>
    </row>
    <row r="309" spans="1:21">
      <c r="A309" s="143" t="str">
        <f>LNOP!A31</f>
        <v>Leica</v>
      </c>
      <c r="B309" s="11" t="str">
        <f>LNOP!B31</f>
        <v>Apo-Summicron-R 180/2</v>
      </c>
      <c r="C309" s="16">
        <f>LNOP!C31</f>
        <v>180</v>
      </c>
      <c r="D309" s="18">
        <f>LNOP!D31</f>
        <v>2</v>
      </c>
      <c r="E309" s="31">
        <f>LNOP!E31</f>
        <v>288</v>
      </c>
      <c r="F309" s="16" t="str">
        <f>LNOP!F31</f>
        <v>LR</v>
      </c>
      <c r="G309" s="58">
        <f>LNOP!G31</f>
        <v>1.5</v>
      </c>
      <c r="H309" s="53">
        <f>LNOP!H31</f>
        <v>2.5</v>
      </c>
      <c r="I309" s="16">
        <f>LNOP!I31</f>
        <v>175</v>
      </c>
      <c r="J309" s="16">
        <f>LNOP!J31</f>
        <v>117</v>
      </c>
      <c r="K309" s="18">
        <f>LNOP!K31</f>
        <v>100</v>
      </c>
      <c r="L309" s="25">
        <f>LNOP!L31</f>
        <v>3549.2</v>
      </c>
      <c r="M309" s="36" t="str">
        <f>LNOP!M31</f>
        <v>.15-06</v>
      </c>
      <c r="N309" s="25">
        <f>LNOP!N31</f>
        <v>6129</v>
      </c>
      <c r="O309" s="73" t="str">
        <f>LNOP!O31</f>
        <v>.16-03</v>
      </c>
      <c r="P309" s="25">
        <f>LNOP!P31</f>
        <v>3200</v>
      </c>
      <c r="Q309" s="36" t="str">
        <f>LNOP!Q31</f>
        <v>.10-02</v>
      </c>
      <c r="R309" s="31" t="str">
        <f>LNOP!R31</f>
        <v>kevin</v>
      </c>
      <c r="S309" s="25">
        <f>LNOP!S31</f>
        <v>4495</v>
      </c>
      <c r="T309" s="36" t="str">
        <f>LNOP!T31</f>
        <v>.10-11</v>
      </c>
      <c r="U309" s="31" t="str">
        <f>LNOP!U31</f>
        <v>camW</v>
      </c>
    </row>
    <row r="310" spans="1:21">
      <c r="A310" s="143" t="str">
        <f>LNOP!A89</f>
        <v>Olympus</v>
      </c>
      <c r="B310" s="11" t="str">
        <f>LNOP!B89</f>
        <v>Zuiko 180/2 Auto-T</v>
      </c>
      <c r="C310" s="16">
        <f>LNOP!C89</f>
        <v>180</v>
      </c>
      <c r="D310" s="18">
        <f>LNOP!D89</f>
        <v>2</v>
      </c>
      <c r="E310" s="31">
        <f>LNOP!E89</f>
        <v>288</v>
      </c>
      <c r="F310" s="16" t="str">
        <f>LNOP!F89</f>
        <v>OM</v>
      </c>
      <c r="G310" s="58">
        <f>LNOP!G89</f>
        <v>1.58</v>
      </c>
      <c r="H310" s="53">
        <f>LNOP!H89</f>
        <v>1.9</v>
      </c>
      <c r="I310" s="16">
        <f>LNOP!I89</f>
        <v>173</v>
      </c>
      <c r="J310" s="16">
        <f>LNOP!J89</f>
        <v>107</v>
      </c>
      <c r="K310" s="18">
        <f>LNOP!K89</f>
        <v>100</v>
      </c>
      <c r="L310" s="25">
        <f>LNOP!L89</f>
        <v>2873.75</v>
      </c>
      <c r="M310" s="36" t="str">
        <f>LNOP!M89</f>
        <v>.16-05</v>
      </c>
      <c r="N310" s="25">
        <f>LNOP!N89</f>
        <v>6671.5</v>
      </c>
      <c r="O310" s="73" t="str">
        <f>LNOP!O89</f>
        <v>.14-08</v>
      </c>
      <c r="P310" s="25">
        <f>LNOP!P89</f>
        <v>2300</v>
      </c>
      <c r="Q310" s="36" t="str">
        <f>LNOP!Q89</f>
        <v>.13-04</v>
      </c>
      <c r="R310" s="31" t="str">
        <f>LNOP!R89</f>
        <v>kevin</v>
      </c>
      <c r="S310" s="25" t="str">
        <f>LNOP!S89</f>
        <v xml:space="preserve"> </v>
      </c>
      <c r="T310" s="36" t="str">
        <f>LNOP!T89</f>
        <v xml:space="preserve"> </v>
      </c>
      <c r="U310" s="31" t="str">
        <f>LNOP!U89</f>
        <v xml:space="preserve"> </v>
      </c>
    </row>
    <row r="311" spans="1:21">
      <c r="A311" s="143" t="str">
        <f>STT!A57</f>
        <v>Tamron</v>
      </c>
      <c r="B311" s="11" t="str">
        <f>STT!B57</f>
        <v>SP 180/2.5 LD IF MF</v>
      </c>
      <c r="C311" s="16">
        <f>STT!C57</f>
        <v>180</v>
      </c>
      <c r="D311" s="18">
        <f>STT!D57</f>
        <v>2.5</v>
      </c>
      <c r="E311" s="31">
        <f>STT!E57</f>
        <v>288</v>
      </c>
      <c r="F311" s="16" t="str">
        <f>STT!F57</f>
        <v>A2</v>
      </c>
      <c r="G311" s="58">
        <f>STT!G57</f>
        <v>1.2</v>
      </c>
      <c r="H311" s="53">
        <f>STT!H57</f>
        <v>0.87</v>
      </c>
      <c r="I311" s="16">
        <f>STT!I57</f>
        <v>120</v>
      </c>
      <c r="J311" s="16">
        <f>STT!J57</f>
        <v>82</v>
      </c>
      <c r="K311" s="18">
        <f>STT!K57</f>
        <v>77</v>
      </c>
      <c r="L311" s="25">
        <f>STT!L57</f>
        <v>344.66666666666669</v>
      </c>
      <c r="M311" s="36" t="str">
        <f>STT!M57</f>
        <v>.16-01</v>
      </c>
      <c r="N311" s="25">
        <f>STT!N57</f>
        <v>466.55555555555554</v>
      </c>
      <c r="O311" s="73" t="str">
        <f>STT!O57</f>
        <v>.15-02</v>
      </c>
      <c r="P311" s="25" t="str">
        <f>STT!P57</f>
        <v xml:space="preserve"> </v>
      </c>
      <c r="Q311" s="36" t="str">
        <f>STT!Q57</f>
        <v xml:space="preserve"> </v>
      </c>
      <c r="R311" s="31" t="str">
        <f>STT!R57</f>
        <v xml:space="preserve"> </v>
      </c>
      <c r="S311" s="25" t="str">
        <f>STT!S57</f>
        <v xml:space="preserve"> </v>
      </c>
      <c r="T311" s="36" t="str">
        <f>STT!T57</f>
        <v xml:space="preserve"> </v>
      </c>
      <c r="U311" s="31" t="str">
        <f>STT!U57</f>
        <v xml:space="preserve"> </v>
      </c>
    </row>
    <row r="312" spans="1:21">
      <c r="A312" s="143" t="str">
        <f>STT!A23</f>
        <v>Sigma</v>
      </c>
      <c r="B312" s="11" t="str">
        <f>STT!B23</f>
        <v>EX 180/2.8 APO Macro OS</v>
      </c>
      <c r="C312" s="16">
        <f>STT!C23</f>
        <v>180</v>
      </c>
      <c r="D312" s="18">
        <f>STT!D23</f>
        <v>2.8</v>
      </c>
      <c r="E312" s="31">
        <f>STT!E23</f>
        <v>288</v>
      </c>
      <c r="F312" s="16" t="str">
        <f>STT!F23</f>
        <v>EF</v>
      </c>
      <c r="G312" s="58">
        <f>STT!G23</f>
        <v>0.47</v>
      </c>
      <c r="H312" s="53">
        <f>STT!H23</f>
        <v>1.6379999999999999</v>
      </c>
      <c r="I312" s="16">
        <f>STT!I23</f>
        <v>203.9</v>
      </c>
      <c r="J312" s="16">
        <f>STT!J23</f>
        <v>95</v>
      </c>
      <c r="K312" s="18">
        <f>STT!K23</f>
        <v>86</v>
      </c>
      <c r="L312" s="25">
        <f>STT!L23</f>
        <v>940</v>
      </c>
      <c r="M312" s="36" t="str">
        <f>STT!M23</f>
        <v>.16-01</v>
      </c>
      <c r="N312" s="25">
        <f>STT!N23</f>
        <v>1019</v>
      </c>
      <c r="O312" s="73" t="str">
        <f>STT!O23</f>
        <v>.15-04</v>
      </c>
      <c r="P312" s="25">
        <f>STT!P23</f>
        <v>1160</v>
      </c>
      <c r="Q312" s="36" t="str">
        <f>STT!Q23</f>
        <v>.15-11</v>
      </c>
      <c r="R312" s="31" t="str">
        <f>STT!R23</f>
        <v>ado</v>
      </c>
      <c r="S312" s="25">
        <f>STT!S23</f>
        <v>1270</v>
      </c>
      <c r="T312" s="36" t="str">
        <f>STT!T23</f>
        <v>.16-01</v>
      </c>
      <c r="U312" s="31" t="str">
        <f>STT!U23</f>
        <v>LA</v>
      </c>
    </row>
    <row r="313" spans="1:21">
      <c r="A313" s="143" t="str">
        <f>CZ.V!A58</f>
        <v>Carl Zeiss</v>
      </c>
      <c r="B313" s="11" t="str">
        <f>CZ.V!B58</f>
        <v>Sonnar T* 180/2.8 CY</v>
      </c>
      <c r="C313" s="16">
        <f>CZ.V!C58</f>
        <v>180</v>
      </c>
      <c r="D313" s="18">
        <f>CZ.V!D58</f>
        <v>2.8</v>
      </c>
      <c r="E313" s="31">
        <f>CZ.V!E58</f>
        <v>288</v>
      </c>
      <c r="F313" s="16" t="str">
        <f>CZ.V!F58</f>
        <v>CY</v>
      </c>
      <c r="G313" s="58">
        <f>CZ.V!G58</f>
        <v>1.4</v>
      </c>
      <c r="H313" s="53">
        <f>CZ.V!H58</f>
        <v>0.98499999999999999</v>
      </c>
      <c r="I313" s="16">
        <f>CZ.V!I58</f>
        <v>131</v>
      </c>
      <c r="J313" s="16">
        <f>CZ.V!J58</f>
        <v>82</v>
      </c>
      <c r="K313" s="18">
        <f>CZ.V!K58</f>
        <v>72</v>
      </c>
      <c r="L313" s="25">
        <f>CZ.V!L58</f>
        <v>306.3</v>
      </c>
      <c r="M313" s="36" t="str">
        <f>CZ.V!M58</f>
        <v>.16-05</v>
      </c>
      <c r="N313" s="25">
        <f>CZ.V!N58</f>
        <v>467.5</v>
      </c>
      <c r="O313" s="73" t="str">
        <f>CZ.V!O58</f>
        <v>.16-04</v>
      </c>
      <c r="P313" s="25">
        <f>CZ.V!P58</f>
        <v>402</v>
      </c>
      <c r="Q313" s="36" t="str">
        <f>CZ.V!Q58</f>
        <v>.15-11</v>
      </c>
      <c r="R313" s="31" t="str">
        <f>CZ.V!R58</f>
        <v>keh</v>
      </c>
      <c r="S313" s="25">
        <f>CZ.V!S58</f>
        <v>425</v>
      </c>
      <c r="T313" s="36" t="str">
        <f>CZ.V!T58</f>
        <v>.16-01</v>
      </c>
      <c r="U313" s="31" t="str">
        <f>CZ.V!U58</f>
        <v>igor</v>
      </c>
    </row>
    <row r="314" spans="1:21">
      <c r="A314" s="143" t="str">
        <f>CZ.V!A96</f>
        <v>Zeiss Jena</v>
      </c>
      <c r="B314" s="11" t="str">
        <f>CZ.V!B96</f>
        <v>Sonnar MC 180/2.8</v>
      </c>
      <c r="C314" s="16">
        <f>CZ.V!C96</f>
        <v>180</v>
      </c>
      <c r="D314" s="18">
        <f>CZ.V!D96</f>
        <v>2.8</v>
      </c>
      <c r="E314" s="31">
        <f>CZ.V!E96</f>
        <v>288</v>
      </c>
      <c r="F314" s="16" t="str">
        <f>CZ.V!F96</f>
        <v>M42</v>
      </c>
      <c r="G314" s="58">
        <f>CZ.V!G96</f>
        <v>2.2000000000000002</v>
      </c>
      <c r="H314" s="53">
        <f>CZ.V!H96</f>
        <v>1.1000000000000001</v>
      </c>
      <c r="I314" s="16">
        <f>CZ.V!I96</f>
        <v>146</v>
      </c>
      <c r="J314" s="16">
        <f>CZ.V!J96</f>
        <v>100</v>
      </c>
      <c r="K314" s="18">
        <f>CZ.V!K96</f>
        <v>86</v>
      </c>
      <c r="L314" s="25">
        <f>CZ.V!L96</f>
        <v>221.09090909090909</v>
      </c>
      <c r="M314" s="36" t="str">
        <f>CZ.V!M96</f>
        <v>.15-11</v>
      </c>
      <c r="N314" s="25">
        <f>CZ.V!N96</f>
        <v>314</v>
      </c>
      <c r="O314" s="73" t="str">
        <f>CZ.V!O96</f>
        <v>.16-01</v>
      </c>
      <c r="P314" s="25">
        <f>CZ.V!P96</f>
        <v>425</v>
      </c>
      <c r="Q314" s="36" t="str">
        <f>CZ.V!Q96</f>
        <v>.16-01</v>
      </c>
      <c r="R314" s="31" t="str">
        <f>CZ.V!R96</f>
        <v>igor</v>
      </c>
      <c r="S314" s="25" t="str">
        <f>CZ.V!S96</f>
        <v xml:space="preserve"> </v>
      </c>
      <c r="T314" s="36" t="str">
        <f>CZ.V!T96</f>
        <v xml:space="preserve"> </v>
      </c>
      <c r="U314" s="31" t="str">
        <f>CZ.V!U96</f>
        <v xml:space="preserve"> </v>
      </c>
    </row>
    <row r="315" spans="1:21">
      <c r="A315" s="143" t="str">
        <f>LNOP!A32</f>
        <v>Leica</v>
      </c>
      <c r="B315" s="11" t="str">
        <f>LNOP!B32</f>
        <v>Apo-Elmarit-R 180/2.8</v>
      </c>
      <c r="C315" s="16">
        <f>LNOP!C32</f>
        <v>180</v>
      </c>
      <c r="D315" s="18">
        <f>LNOP!D32</f>
        <v>2.8</v>
      </c>
      <c r="E315" s="31">
        <f>LNOP!E32</f>
        <v>288</v>
      </c>
      <c r="F315" s="16" t="str">
        <f>LNOP!F32</f>
        <v>LR</v>
      </c>
      <c r="G315" s="58">
        <f>LNOP!G32</f>
        <v>2</v>
      </c>
      <c r="H315" s="53">
        <f>LNOP!H32</f>
        <v>0.97</v>
      </c>
      <c r="I315" s="16">
        <f>LNOP!I32</f>
        <v>132</v>
      </c>
      <c r="J315" s="16">
        <f>LNOP!J32</f>
        <v>76</v>
      </c>
      <c r="K315" s="18">
        <f>LNOP!K32</f>
        <v>67</v>
      </c>
      <c r="L315" s="25">
        <f>LNOP!L32</f>
        <v>2615.3333333333335</v>
      </c>
      <c r="M315" s="36" t="str">
        <f>LNOP!M32</f>
        <v>.12-04</v>
      </c>
      <c r="N315" s="25">
        <f>LNOP!N32</f>
        <v>3525</v>
      </c>
      <c r="O315" s="73" t="str">
        <f>LNOP!O32</f>
        <v>.15-12</v>
      </c>
      <c r="P315" s="25">
        <f>LNOP!P32</f>
        <v>2100</v>
      </c>
      <c r="Q315" s="36" t="str">
        <f>LNOP!Q32</f>
        <v>.11-04</v>
      </c>
      <c r="R315" s="31" t="str">
        <f>LNOP!R32</f>
        <v>8elm</v>
      </c>
      <c r="S315" s="25">
        <f>LNOP!S32</f>
        <v>3395</v>
      </c>
      <c r="T315" s="36" t="str">
        <f>LNOP!T32</f>
        <v>.11-01</v>
      </c>
      <c r="U315" s="31" t="str">
        <f>LNOP!U32</f>
        <v>igor</v>
      </c>
    </row>
    <row r="316" spans="1:21">
      <c r="A316" s="143" t="str">
        <f>LNOP!A33</f>
        <v>Leica</v>
      </c>
      <c r="B316" s="11" t="str">
        <f>LNOP!B33</f>
        <v>Elmarit-R 180/2.8 II</v>
      </c>
      <c r="C316" s="16">
        <f>LNOP!C33</f>
        <v>180</v>
      </c>
      <c r="D316" s="18">
        <f>LNOP!D33</f>
        <v>2.8</v>
      </c>
      <c r="E316" s="31">
        <f>LNOP!E33</f>
        <v>288</v>
      </c>
      <c r="F316" s="16" t="str">
        <f>LNOP!F33</f>
        <v>LR</v>
      </c>
      <c r="G316" s="58">
        <f>LNOP!G33</f>
        <v>1.8</v>
      </c>
      <c r="H316" s="53">
        <f>LNOP!H33</f>
        <v>0.81</v>
      </c>
      <c r="I316" s="16">
        <f>LNOP!I33</f>
        <v>121</v>
      </c>
      <c r="J316" s="16">
        <f>LNOP!J33</f>
        <v>75</v>
      </c>
      <c r="K316" s="18" t="str">
        <f>LNOP!K33</f>
        <v>VIII</v>
      </c>
      <c r="L316" s="25">
        <f>LNOP!L33</f>
        <v>364.08333333333331</v>
      </c>
      <c r="M316" s="36" t="str">
        <f>LNOP!M33</f>
        <v>.16-05</v>
      </c>
      <c r="N316" s="25">
        <f>LNOP!N33</f>
        <v>566.90909090909088</v>
      </c>
      <c r="O316" s="73" t="str">
        <f>LNOP!O33</f>
        <v>.16-05</v>
      </c>
      <c r="P316" s="25">
        <f>LNOP!P33</f>
        <v>385</v>
      </c>
      <c r="Q316" s="36" t="str">
        <f>LNOP!Q33</f>
        <v>.16-01</v>
      </c>
      <c r="R316" s="31" t="str">
        <f>LNOP!R33</f>
        <v>L-shop</v>
      </c>
      <c r="S316" s="25">
        <f>LNOP!S33</f>
        <v>500</v>
      </c>
      <c r="T316" s="36" t="str">
        <f>LNOP!T33</f>
        <v>.16-01</v>
      </c>
      <c r="U316" s="31" t="str">
        <f>LNOP!U33</f>
        <v>b&amp;h</v>
      </c>
    </row>
    <row r="317" spans="1:21">
      <c r="A317" s="143" t="str">
        <f>LNOP!A34</f>
        <v>Leica</v>
      </c>
      <c r="B317" s="11" t="str">
        <f>LNOP!B34</f>
        <v>Apo-Telyt-R 180/3.4 E60</v>
      </c>
      <c r="C317" s="16">
        <f>LNOP!C34</f>
        <v>180</v>
      </c>
      <c r="D317" s="18">
        <f>LNOP!D34</f>
        <v>3.4</v>
      </c>
      <c r="E317" s="31">
        <f>LNOP!E34</f>
        <v>288</v>
      </c>
      <c r="F317" s="16" t="str">
        <f>LNOP!F34</f>
        <v>LR</v>
      </c>
      <c r="G317" s="58">
        <f>LNOP!G34</f>
        <v>2.5</v>
      </c>
      <c r="H317" s="53">
        <f>LNOP!H34</f>
        <v>0.75</v>
      </c>
      <c r="I317" s="16">
        <f>LNOP!I34</f>
        <v>133</v>
      </c>
      <c r="J317" s="16">
        <f>LNOP!J34</f>
        <v>67</v>
      </c>
      <c r="K317" s="18">
        <f>LNOP!K34</f>
        <v>60</v>
      </c>
      <c r="L317" s="25">
        <f>LNOP!L34</f>
        <v>738.63636363636363</v>
      </c>
      <c r="M317" s="36" t="str">
        <f>LNOP!M34</f>
        <v>.16-04</v>
      </c>
      <c r="N317" s="25">
        <f>LNOP!N34</f>
        <v>1063</v>
      </c>
      <c r="O317" s="73" t="str">
        <f>LNOP!O34</f>
        <v>.16-03</v>
      </c>
      <c r="P317" s="25">
        <f>LNOP!P34</f>
        <v>915</v>
      </c>
      <c r="Q317" s="36" t="str">
        <f>LNOP!Q34</f>
        <v>.16-01</v>
      </c>
      <c r="R317" s="31" t="str">
        <f>LNOP!R34</f>
        <v>L-shop</v>
      </c>
      <c r="S317" s="25">
        <f>LNOP!S34</f>
        <v>1125</v>
      </c>
      <c r="T317" s="36" t="str">
        <f>LNOP!T34</f>
        <v>.15-04</v>
      </c>
      <c r="U317" s="31" t="str">
        <f>LNOP!U34</f>
        <v>igor</v>
      </c>
    </row>
    <row r="318" spans="1:21">
      <c r="A318" s="143" t="str">
        <f>EFp!A45</f>
        <v>Canon</v>
      </c>
      <c r="B318" s="11" t="str">
        <f>EFp!B45</f>
        <v xml:space="preserve">EF 180/3.5 L Macro USM </v>
      </c>
      <c r="C318" s="16">
        <f>EFp!C45</f>
        <v>180</v>
      </c>
      <c r="D318" s="18">
        <f>EFp!D45</f>
        <v>3.5</v>
      </c>
      <c r="E318" s="31">
        <f>EFp!E45</f>
        <v>288</v>
      </c>
      <c r="F318" s="16" t="str">
        <f>EFp!F45</f>
        <v>EF</v>
      </c>
      <c r="G318" s="58">
        <f>EFp!G45</f>
        <v>0.48</v>
      </c>
      <c r="H318" s="53">
        <f>EFp!H45</f>
        <v>1.0900000000000001</v>
      </c>
      <c r="I318" s="16">
        <f>EFp!I45</f>
        <v>186.6</v>
      </c>
      <c r="J318" s="16">
        <f>EFp!J45</f>
        <v>82.5</v>
      </c>
      <c r="K318" s="18">
        <f>EFp!K45</f>
        <v>72</v>
      </c>
      <c r="L318" s="25">
        <f>EFp!L45</f>
        <v>780</v>
      </c>
      <c r="M318" s="36" t="str">
        <f>EFp!M45</f>
        <v>.16-05</v>
      </c>
      <c r="N318" s="25">
        <f>EFp!N45</f>
        <v>1070.75</v>
      </c>
      <c r="O318" s="73" t="str">
        <f>EFp!O45</f>
        <v>.16-01</v>
      </c>
      <c r="P318" s="25">
        <f>EFp!P45</f>
        <v>1000</v>
      </c>
      <c r="Q318" s="36" t="str">
        <f>EFp!Q45</f>
        <v>.16-01</v>
      </c>
      <c r="R318" s="31" t="str">
        <f>EFp!R45</f>
        <v>b&amp;h</v>
      </c>
      <c r="S318" s="25">
        <f>EFp!S45</f>
        <v>995</v>
      </c>
      <c r="T318" s="36" t="str">
        <f>EFp!T45</f>
        <v>.16-01</v>
      </c>
      <c r="U318" s="31" t="str">
        <f>EFp!U45</f>
        <v>camW</v>
      </c>
    </row>
    <row r="319" spans="1:21">
      <c r="A319" s="143" t="str">
        <f>STT!A24</f>
        <v>Sigma</v>
      </c>
      <c r="B319" s="11" t="str">
        <f>STT!B24</f>
        <v>EX 180/3.5 APO Macro</v>
      </c>
      <c r="C319" s="16">
        <f>STT!C24</f>
        <v>180</v>
      </c>
      <c r="D319" s="18">
        <f>STT!D24</f>
        <v>3.5</v>
      </c>
      <c r="E319" s="31">
        <f>STT!E24</f>
        <v>288</v>
      </c>
      <c r="F319" s="16" t="str">
        <f>STT!F24</f>
        <v>EF</v>
      </c>
      <c r="G319" s="58">
        <f>STT!G24</f>
        <v>0.46</v>
      </c>
      <c r="H319" s="53">
        <f>STT!H24</f>
        <v>0.95</v>
      </c>
      <c r="I319" s="16">
        <f>STT!I24</f>
        <v>180</v>
      </c>
      <c r="J319" s="16">
        <f>STT!J24</f>
        <v>80</v>
      </c>
      <c r="K319" s="18">
        <f>STT!K24</f>
        <v>72</v>
      </c>
      <c r="L319" s="25">
        <f>STT!L24</f>
        <v>397.44444444444446</v>
      </c>
      <c r="M319" s="36" t="str">
        <f>STT!M24</f>
        <v>.15-12</v>
      </c>
      <c r="N319" s="25">
        <f>STT!N24</f>
        <v>556.9</v>
      </c>
      <c r="O319" s="73" t="str">
        <f>STT!O24</f>
        <v>.14-03</v>
      </c>
      <c r="P319" s="25">
        <f>STT!P24</f>
        <v>415</v>
      </c>
      <c r="Q319" s="36" t="str">
        <f>STT!Q24</f>
        <v>.16-01</v>
      </c>
      <c r="R319" s="31" t="str">
        <f>STT!R24</f>
        <v>jack's</v>
      </c>
      <c r="S319" s="25" t="str">
        <f>STT!S24</f>
        <v xml:space="preserve"> </v>
      </c>
      <c r="T319" s="36" t="str">
        <f>STT!T24</f>
        <v xml:space="preserve"> </v>
      </c>
      <c r="U319" s="31" t="str">
        <f>STT!U24</f>
        <v xml:space="preserve"> </v>
      </c>
    </row>
    <row r="320" spans="1:21">
      <c r="A320" s="143" t="str">
        <f>STT!A58</f>
        <v>Tamron</v>
      </c>
      <c r="B320" s="11" t="str">
        <f>STT!B58</f>
        <v>SP 180/3.5 AF Di Macro 1:1</v>
      </c>
      <c r="C320" s="16">
        <f>STT!C58</f>
        <v>180</v>
      </c>
      <c r="D320" s="18">
        <f>STT!D58</f>
        <v>3.5</v>
      </c>
      <c r="E320" s="31">
        <f>STT!E58</f>
        <v>288</v>
      </c>
      <c r="F320" s="16" t="str">
        <f>STT!F58</f>
        <v>EF</v>
      </c>
      <c r="G320" s="58">
        <f>STT!G58</f>
        <v>0.47</v>
      </c>
      <c r="H320" s="53">
        <f>STT!H58</f>
        <v>0.92</v>
      </c>
      <c r="I320" s="16">
        <f>STT!I58</f>
        <v>165.7</v>
      </c>
      <c r="J320" s="16">
        <f>STT!J58</f>
        <v>84.8</v>
      </c>
      <c r="K320" s="18">
        <f>STT!K58</f>
        <v>72</v>
      </c>
      <c r="L320" s="25">
        <f>STT!L58</f>
        <v>417.55555555555554</v>
      </c>
      <c r="M320" s="36" t="str">
        <f>STT!M58</f>
        <v>.16-01</v>
      </c>
      <c r="N320" s="25">
        <f>STT!N58</f>
        <v>532.11111111111109</v>
      </c>
      <c r="O320" s="73" t="str">
        <f>STT!O58</f>
        <v>.14-08</v>
      </c>
      <c r="P320" s="25">
        <f>STT!P58</f>
        <v>456</v>
      </c>
      <c r="Q320" s="36" t="str">
        <f>STT!Q58</f>
        <v>.15-11</v>
      </c>
      <c r="R320" s="31" t="str">
        <f>STT!R58</f>
        <v>henrys</v>
      </c>
      <c r="S320" s="25">
        <f>STT!S58</f>
        <v>650</v>
      </c>
      <c r="T320" s="36" t="str">
        <f>STT!T58</f>
        <v>.14-03</v>
      </c>
      <c r="U320" s="31" t="str">
        <f>STT!U58</f>
        <v>ado</v>
      </c>
    </row>
    <row r="321" spans="1:21">
      <c r="A321" s="143" t="str">
        <f>CZ.V!A109</f>
        <v>Voigtlander</v>
      </c>
      <c r="B321" s="11" t="str">
        <f>CZ.V!B109</f>
        <v xml:space="preserve">180/4 Apo-Lanthar CF SL </v>
      </c>
      <c r="C321" s="16">
        <f>CZ.V!C109</f>
        <v>180</v>
      </c>
      <c r="D321" s="18">
        <f>CZ.V!D109</f>
        <v>4</v>
      </c>
      <c r="E321" s="31">
        <f>CZ.V!E109</f>
        <v>288</v>
      </c>
      <c r="F321" s="16" t="str">
        <f>CZ.V!F109</f>
        <v>x</v>
      </c>
      <c r="G321" s="58">
        <f>CZ.V!G109</f>
        <v>1.2</v>
      </c>
      <c r="H321" s="53">
        <f>CZ.V!H109</f>
        <v>0.48499999999999999</v>
      </c>
      <c r="I321" s="16">
        <f>CZ.V!I109</f>
        <v>79</v>
      </c>
      <c r="J321" s="16">
        <f>CZ.V!J109</f>
        <v>65.599999999999994</v>
      </c>
      <c r="K321" s="18">
        <f>CZ.V!K109</f>
        <v>49</v>
      </c>
      <c r="L321" s="25">
        <f>CZ.V!L109</f>
        <v>1093.6666666666667</v>
      </c>
      <c r="M321" s="36" t="str">
        <f>CZ.V!M109</f>
        <v>.16-02</v>
      </c>
      <c r="N321" s="25">
        <f>CZ.V!N109</f>
        <v>1470.6666666666667</v>
      </c>
      <c r="O321" s="73" t="str">
        <f>CZ.V!O109</f>
        <v>.16-05</v>
      </c>
      <c r="P321" s="25" t="str">
        <f>CZ.V!P109</f>
        <v xml:space="preserve"> </v>
      </c>
      <c r="Q321" s="36" t="str">
        <f>CZ.V!Q109</f>
        <v xml:space="preserve"> </v>
      </c>
      <c r="R321" s="31" t="str">
        <f>CZ.V!R109</f>
        <v xml:space="preserve"> </v>
      </c>
      <c r="S321" s="25" t="str">
        <f>CZ.V!S109</f>
        <v xml:space="preserve"> </v>
      </c>
      <c r="T321" s="36" t="str">
        <f>CZ.V!T109</f>
        <v xml:space="preserve"> </v>
      </c>
      <c r="U321" s="31" t="str">
        <f>CZ.V!U109</f>
        <v xml:space="preserve"> </v>
      </c>
    </row>
    <row r="322" spans="1:21">
      <c r="A322" s="144" t="str">
        <f>LNOP!A35</f>
        <v>Leica</v>
      </c>
      <c r="B322" s="22" t="str">
        <f>LNOP!B35</f>
        <v xml:space="preserve">Elmar-R 180/4 </v>
      </c>
      <c r="C322" s="27">
        <f>LNOP!C35</f>
        <v>180</v>
      </c>
      <c r="D322" s="41">
        <f>LNOP!D35</f>
        <v>4</v>
      </c>
      <c r="E322" s="33">
        <f>LNOP!E35</f>
        <v>288</v>
      </c>
      <c r="F322" s="27" t="str">
        <f>LNOP!F35</f>
        <v>LR</v>
      </c>
      <c r="G322" s="55">
        <f>LNOP!G35</f>
        <v>1.8</v>
      </c>
      <c r="H322" s="56">
        <f>LNOP!H35</f>
        <v>0.55000000000000004</v>
      </c>
      <c r="I322" s="27">
        <f>LNOP!I35</f>
        <v>100</v>
      </c>
      <c r="J322" s="27">
        <f>LNOP!J35</f>
        <v>65.5</v>
      </c>
      <c r="K322" s="41">
        <f>LNOP!K35</f>
        <v>55</v>
      </c>
      <c r="L322" s="26">
        <f>LNOP!L35</f>
        <v>290.3</v>
      </c>
      <c r="M322" s="24" t="str">
        <f>LNOP!M35</f>
        <v>.16-01</v>
      </c>
      <c r="N322" s="26">
        <f>LNOP!N35</f>
        <v>452.22222222222223</v>
      </c>
      <c r="O322" s="124" t="str">
        <f>LNOP!O35</f>
        <v>.16-05</v>
      </c>
      <c r="P322" s="26">
        <f>LNOP!P35</f>
        <v>350</v>
      </c>
      <c r="Q322" s="24" t="str">
        <f>LNOP!Q35</f>
        <v>.16-01</v>
      </c>
      <c r="R322" s="33" t="str">
        <f>LNOP!R35</f>
        <v>L-shop</v>
      </c>
      <c r="S322" s="26">
        <f>LNOP!S35</f>
        <v>495</v>
      </c>
      <c r="T322" s="24" t="str">
        <f>LNOP!T35</f>
        <v>.12-04</v>
      </c>
      <c r="U322" s="33" t="str">
        <f>LNOP!U35</f>
        <v>camW</v>
      </c>
    </row>
    <row r="323" spans="1:21">
      <c r="A323" s="143" t="str">
        <f>EFp!A46</f>
        <v>Canon</v>
      </c>
      <c r="B323" s="11" t="str">
        <f>EFp!B46</f>
        <v>EF 200/1.8 L USM</v>
      </c>
      <c r="C323" s="16">
        <f>EFp!C46</f>
        <v>200</v>
      </c>
      <c r="D323" s="18">
        <f>EFp!D46</f>
        <v>1.8</v>
      </c>
      <c r="E323" s="31">
        <f>EFp!E46</f>
        <v>320</v>
      </c>
      <c r="F323" s="16" t="str">
        <f>EFp!F46</f>
        <v>EF</v>
      </c>
      <c r="G323" s="58">
        <f>EFp!G46</f>
        <v>2.5</v>
      </c>
      <c r="H323" s="53">
        <f>EFp!H46</f>
        <v>3</v>
      </c>
      <c r="I323" s="16">
        <f>EFp!I46</f>
        <v>208</v>
      </c>
      <c r="J323" s="16">
        <f>EFp!J46</f>
        <v>129.5</v>
      </c>
      <c r="K323" s="18" t="str">
        <f>EFp!K46</f>
        <v>48 di</v>
      </c>
      <c r="L323" s="25">
        <f>EFp!L46</f>
        <v>2921.1666666666665</v>
      </c>
      <c r="M323" s="36" t="str">
        <f>EFp!M46</f>
        <v>.16-05</v>
      </c>
      <c r="N323" s="25">
        <f>EFp!N46</f>
        <v>3740</v>
      </c>
      <c r="O323" s="73" t="str">
        <f>EFp!O46</f>
        <v>.16-05</v>
      </c>
      <c r="P323" s="25">
        <f>EFp!P46</f>
        <v>3500</v>
      </c>
      <c r="Q323" s="36" t="str">
        <f>EFp!Q46</f>
        <v>.16-01</v>
      </c>
      <c r="R323" s="31" t="str">
        <f>EFp!R46</f>
        <v>b&amp;h</v>
      </c>
      <c r="S323" s="25" t="str">
        <f>EFp!S46</f>
        <v xml:space="preserve"> </v>
      </c>
      <c r="T323" s="36" t="str">
        <f>EFp!T46</f>
        <v xml:space="preserve"> </v>
      </c>
      <c r="U323" s="31" t="str">
        <f>EFp!U46</f>
        <v xml:space="preserve"> </v>
      </c>
    </row>
    <row r="324" spans="1:21">
      <c r="A324" s="143" t="str">
        <f>EFp!A47</f>
        <v>Canon</v>
      </c>
      <c r="B324" s="11" t="str">
        <f>EFp!B47</f>
        <v xml:space="preserve">EF 200/2 L IS USM </v>
      </c>
      <c r="C324" s="16">
        <f>EFp!C47</f>
        <v>200</v>
      </c>
      <c r="D324" s="18">
        <f>EFp!D47</f>
        <v>2</v>
      </c>
      <c r="E324" s="31">
        <f>EFp!E47</f>
        <v>320</v>
      </c>
      <c r="F324" s="16" t="str">
        <f>EFp!F47</f>
        <v>EF</v>
      </c>
      <c r="G324" s="58">
        <f>EFp!G47</f>
        <v>1.9</v>
      </c>
      <c r="H324" s="53">
        <f>EFp!H47</f>
        <v>2.5</v>
      </c>
      <c r="I324" s="16">
        <f>EFp!I47</f>
        <v>208</v>
      </c>
      <c r="J324" s="16">
        <f>EFp!J47</f>
        <v>128</v>
      </c>
      <c r="K324" s="18" t="str">
        <f>EFp!K47</f>
        <v>52 di</v>
      </c>
      <c r="L324" s="25">
        <f>EFp!L47</f>
        <v>4177</v>
      </c>
      <c r="M324" s="36" t="str">
        <f>EFp!M47</f>
        <v>.16-05</v>
      </c>
      <c r="N324" s="25">
        <f>EFp!N47</f>
        <v>4724.1111111111113</v>
      </c>
      <c r="O324" s="73" t="str">
        <f>EFp!O47</f>
        <v>.16-05</v>
      </c>
      <c r="P324" s="25">
        <f>EFp!P47</f>
        <v>4600</v>
      </c>
      <c r="Q324" s="36" t="str">
        <f>EFp!Q47</f>
        <v>.15-04</v>
      </c>
      <c r="R324" s="31" t="str">
        <f>EFp!R47</f>
        <v>b&amp;h</v>
      </c>
      <c r="S324" s="25">
        <f>EFp!S47</f>
        <v>4900</v>
      </c>
      <c r="T324" s="36" t="str">
        <f>EFp!T47</f>
        <v>.15-04</v>
      </c>
      <c r="U324" s="31" t="str">
        <f>EFp!U47</f>
        <v>b&amp;h</v>
      </c>
    </row>
    <row r="325" spans="1:21">
      <c r="A325" s="143" t="str">
        <f>CZ.V!A59</f>
        <v>Carl Zeiss</v>
      </c>
      <c r="B325" s="11" t="str">
        <f>CZ.V!B59</f>
        <v>Aposonnar T* 200/2 CY</v>
      </c>
      <c r="C325" s="16">
        <f>CZ.V!C59</f>
        <v>200</v>
      </c>
      <c r="D325" s="18">
        <f>CZ.V!D59</f>
        <v>2</v>
      </c>
      <c r="E325" s="31">
        <f>CZ.V!E59</f>
        <v>320</v>
      </c>
      <c r="F325" s="16" t="str">
        <f>CZ.V!F59</f>
        <v>CY</v>
      </c>
      <c r="G325" s="58">
        <f>CZ.V!G59</f>
        <v>1.8</v>
      </c>
      <c r="H325" s="53">
        <f>CZ.V!H59</f>
        <v>2.6</v>
      </c>
      <c r="I325" s="16">
        <f>CZ.V!I59</f>
        <v>182</v>
      </c>
      <c r="J325" s="16">
        <f>CZ.V!J59</f>
        <v>123</v>
      </c>
      <c r="K325" s="18">
        <f>CZ.V!K59</f>
        <v>111</v>
      </c>
      <c r="L325" s="25">
        <f>CZ.V!L59</f>
        <v>0</v>
      </c>
      <c r="M325" s="36" t="str">
        <f>CZ.V!M59</f>
        <v xml:space="preserve"> </v>
      </c>
      <c r="N325" s="25">
        <f>CZ.V!N59</f>
        <v>4984.666666666667</v>
      </c>
      <c r="O325" s="73" t="str">
        <f>CZ.V!O59</f>
        <v>.14-08</v>
      </c>
      <c r="P325" s="25">
        <f>CZ.V!P59</f>
        <v>4999</v>
      </c>
      <c r="Q325" s="36" t="str">
        <f>CZ.V!Q59</f>
        <v>.14-08</v>
      </c>
      <c r="R325" s="31" t="str">
        <f>CZ.V!R59</f>
        <v>keh</v>
      </c>
      <c r="S325" s="25">
        <f>CZ.V!S59</f>
        <v>4995</v>
      </c>
      <c r="T325" s="36" t="str">
        <f>CZ.V!T59</f>
        <v>.15-02</v>
      </c>
      <c r="U325" s="31" t="str">
        <f>CZ.V!U59</f>
        <v>camW</v>
      </c>
    </row>
    <row r="326" spans="1:21">
      <c r="A326" s="143" t="str">
        <f>LNOP!A58</f>
        <v>Nikon</v>
      </c>
      <c r="B326" s="11" t="str">
        <f>LNOP!B58</f>
        <v xml:space="preserve">Nikkor 200/2 AIS </v>
      </c>
      <c r="C326" s="16">
        <f>LNOP!C58</f>
        <v>200</v>
      </c>
      <c r="D326" s="18">
        <f>LNOP!D58</f>
        <v>2</v>
      </c>
      <c r="E326" s="31">
        <f>LNOP!E58</f>
        <v>320</v>
      </c>
      <c r="F326" s="16" t="str">
        <f>LNOP!F58</f>
        <v>AIS</v>
      </c>
      <c r="G326" s="58">
        <f>LNOP!G58</f>
        <v>2.4</v>
      </c>
      <c r="H326" s="53">
        <f>LNOP!H58</f>
        <v>2.4</v>
      </c>
      <c r="I326" s="16">
        <f>LNOP!I58</f>
        <v>222</v>
      </c>
      <c r="J326" s="16">
        <f>LNOP!J58</f>
        <v>138</v>
      </c>
      <c r="K326" s="18">
        <f>LNOP!K58</f>
        <v>122</v>
      </c>
      <c r="L326" s="25">
        <f>LNOP!L58</f>
        <v>1336.875</v>
      </c>
      <c r="M326" s="36" t="str">
        <f>LNOP!M58</f>
        <v>.16-05</v>
      </c>
      <c r="N326" s="25">
        <f>LNOP!N58</f>
        <v>1971.8</v>
      </c>
      <c r="O326" s="73" t="str">
        <f>LNOP!O58</f>
        <v>.16-03</v>
      </c>
      <c r="P326" s="25">
        <f>LNOP!P58</f>
        <v>2150</v>
      </c>
      <c r="Q326" s="36" t="str">
        <f>LNOP!Q58</f>
        <v>.14-03</v>
      </c>
      <c r="R326" s="31" t="str">
        <f>LNOP!R58</f>
        <v>ado</v>
      </c>
      <c r="S326" s="25">
        <f>LNOP!S58</f>
        <v>2500</v>
      </c>
      <c r="T326" s="36" t="str">
        <f>LNOP!T58</f>
        <v>.10-09</v>
      </c>
      <c r="U326" s="31" t="str">
        <f>LNOP!U58</f>
        <v>kevin</v>
      </c>
    </row>
    <row r="327" spans="1:21">
      <c r="A327" s="143" t="str">
        <f>LNOP!A137</f>
        <v>Pentax</v>
      </c>
      <c r="B327" s="11" t="str">
        <f>LNOP!B137</f>
        <v>SMC Pentax 200/2.5</v>
      </c>
      <c r="C327" s="16">
        <f>LNOP!C137</f>
        <v>200</v>
      </c>
      <c r="D327" s="18">
        <f>LNOP!D137</f>
        <v>2.5</v>
      </c>
      <c r="E327" s="31">
        <f>LNOP!E137</f>
        <v>320</v>
      </c>
      <c r="F327" s="16" t="str">
        <f>LNOP!F137</f>
        <v>K</v>
      </c>
      <c r="G327" s="58">
        <f>LNOP!G137</f>
        <v>2</v>
      </c>
      <c r="H327" s="53">
        <f>LNOP!H137</f>
        <v>0.95</v>
      </c>
      <c r="I327" s="16">
        <f>LNOP!I137</f>
        <v>145</v>
      </c>
      <c r="J327" s="16">
        <f>LNOP!J137</f>
        <v>89</v>
      </c>
      <c r="K327" s="18">
        <f>LNOP!K137</f>
        <v>77</v>
      </c>
      <c r="L327" s="25">
        <f>LNOP!L137</f>
        <v>332.33333333333331</v>
      </c>
      <c r="M327" s="36" t="str">
        <f>LNOP!M137</f>
        <v>.16-05</v>
      </c>
      <c r="N327" s="25">
        <f>LNOP!N137</f>
        <v>530.25</v>
      </c>
      <c r="O327" s="73" t="str">
        <f>LNOP!O137</f>
        <v>.16-01</v>
      </c>
      <c r="P327" s="25">
        <f>LNOP!P137</f>
        <v>450</v>
      </c>
      <c r="Q327" s="36" t="str">
        <f>LNOP!Q137</f>
        <v>.15-04</v>
      </c>
      <c r="R327" s="31" t="str">
        <f>LNOP!R137</f>
        <v>b&amp;h</v>
      </c>
      <c r="S327" s="25">
        <f>LNOP!S137</f>
        <v>795</v>
      </c>
      <c r="T327" s="36" t="str">
        <f>LNOP!T137</f>
        <v>.12-02</v>
      </c>
      <c r="U327" s="31" t="str">
        <f>LNOP!U137</f>
        <v>kevin</v>
      </c>
    </row>
    <row r="328" spans="1:21">
      <c r="A328" s="143" t="str">
        <f>EFp!A48</f>
        <v>Canon</v>
      </c>
      <c r="B328" s="11" t="str">
        <f>EFp!B48</f>
        <v xml:space="preserve">EF 200/2.8 L USM </v>
      </c>
      <c r="C328" s="16">
        <f>EFp!C48</f>
        <v>200</v>
      </c>
      <c r="D328" s="18">
        <f>EFp!D48</f>
        <v>2.8</v>
      </c>
      <c r="E328" s="31">
        <f>EFp!E48</f>
        <v>320</v>
      </c>
      <c r="F328" s="16" t="str">
        <f>EFp!F48</f>
        <v>EF</v>
      </c>
      <c r="G328" s="58">
        <f>EFp!G48</f>
        <v>1.5</v>
      </c>
      <c r="H328" s="53">
        <f>EFp!H48</f>
        <v>0.79</v>
      </c>
      <c r="I328" s="16">
        <f>EFp!I48</f>
        <v>136.19999999999999</v>
      </c>
      <c r="J328" s="16">
        <f>EFp!J48</f>
        <v>83.2</v>
      </c>
      <c r="K328" s="18">
        <f>EFp!K48</f>
        <v>72</v>
      </c>
      <c r="L328" s="25">
        <f>EFp!L48</f>
        <v>402.75</v>
      </c>
      <c r="M328" s="36" t="str">
        <f>EFp!M48</f>
        <v>.16-03</v>
      </c>
      <c r="N328" s="25">
        <f>EFp!N48</f>
        <v>499.3</v>
      </c>
      <c r="O328" s="73" t="str">
        <f>EFp!O48</f>
        <v>.16-05</v>
      </c>
      <c r="P328" s="25">
        <f>EFp!P48</f>
        <v>379.24</v>
      </c>
      <c r="Q328" s="36" t="str">
        <f>EFp!Q48</f>
        <v>.15-04</v>
      </c>
      <c r="R328" s="31" t="str">
        <f>EFp!R48</f>
        <v>ctc</v>
      </c>
      <c r="S328" s="25">
        <f>EFp!S48</f>
        <v>600</v>
      </c>
      <c r="T328" s="36" t="str">
        <f>EFp!T48</f>
        <v>.15-04</v>
      </c>
      <c r="U328" s="31" t="str">
        <f>EFp!U48</f>
        <v>keh</v>
      </c>
    </row>
    <row r="329" spans="1:21">
      <c r="A329" s="143" t="str">
        <f>EFp!A49</f>
        <v>Canon</v>
      </c>
      <c r="B329" s="11" t="str">
        <f>EFp!B49</f>
        <v>EF 200/2.8 L II USM</v>
      </c>
      <c r="C329" s="16">
        <f>EFp!C49</f>
        <v>200</v>
      </c>
      <c r="D329" s="18">
        <f>EFp!D49</f>
        <v>2.8</v>
      </c>
      <c r="E329" s="31">
        <f>EFp!E49</f>
        <v>320</v>
      </c>
      <c r="F329" s="16" t="str">
        <f>EFp!F49</f>
        <v>EF</v>
      </c>
      <c r="G329" s="58">
        <f>EFp!G49</f>
        <v>1.5</v>
      </c>
      <c r="H329" s="53">
        <f>EFp!H49</f>
        <v>0.76500000000000001</v>
      </c>
      <c r="I329" s="16">
        <f>EFp!I49</f>
        <v>136.19999999999999</v>
      </c>
      <c r="J329" s="16">
        <f>EFp!J49</f>
        <v>83.2</v>
      </c>
      <c r="K329" s="18">
        <f>EFp!K49</f>
        <v>72</v>
      </c>
      <c r="L329" s="25">
        <f>EFp!L49</f>
        <v>454.8</v>
      </c>
      <c r="M329" s="36" t="str">
        <f>EFp!M49</f>
        <v>.16-05</v>
      </c>
      <c r="N329" s="25">
        <f>EFp!N49</f>
        <v>564.9</v>
      </c>
      <c r="O329" s="73" t="str">
        <f>EFp!O49</f>
        <v>.16-05</v>
      </c>
      <c r="P329" s="25">
        <f>EFp!P49</f>
        <v>532</v>
      </c>
      <c r="Q329" s="36" t="str">
        <f>EFp!Q49</f>
        <v>.16-03</v>
      </c>
      <c r="R329" s="31" t="str">
        <f>EFp!R49</f>
        <v>camtec</v>
      </c>
      <c r="S329" s="25">
        <f>EFp!S49</f>
        <v>570</v>
      </c>
      <c r="T329" s="36" t="str">
        <f>EFp!T49</f>
        <v>.16-05</v>
      </c>
      <c r="U329" s="31" t="str">
        <f>EFp!U49</f>
        <v>d'town</v>
      </c>
    </row>
    <row r="330" spans="1:21">
      <c r="A330" s="143" t="str">
        <f>CZ.V!A97</f>
        <v>Zeiss Jena</v>
      </c>
      <c r="B330" s="11" t="str">
        <f>CZ.V!B97</f>
        <v>Sonnar MC 200/2.8</v>
      </c>
      <c r="C330" s="16">
        <f>CZ.V!C97</f>
        <v>200</v>
      </c>
      <c r="D330" s="18">
        <f>CZ.V!D97</f>
        <v>2.8</v>
      </c>
      <c r="E330" s="31">
        <f>CZ.V!E97</f>
        <v>320</v>
      </c>
      <c r="F330" s="16" t="str">
        <f>CZ.V!F97</f>
        <v>M42</v>
      </c>
      <c r="G330" s="58">
        <f>CZ.V!G97</f>
        <v>2.2000000000000002</v>
      </c>
      <c r="H330" s="53">
        <f>CZ.V!H97</f>
        <v>1.2</v>
      </c>
      <c r="I330" s="16">
        <f>CZ.V!I97</f>
        <v>146</v>
      </c>
      <c r="J330" s="16" t="str">
        <f>CZ.V!J97</f>
        <v xml:space="preserve"> </v>
      </c>
      <c r="K330" s="18">
        <f>CZ.V!K97</f>
        <v>77</v>
      </c>
      <c r="L330" s="25">
        <f>CZ.V!L97</f>
        <v>243.5</v>
      </c>
      <c r="M330" s="36" t="str">
        <f>CZ.V!M97</f>
        <v>.16-05</v>
      </c>
      <c r="N330" s="25">
        <f>CZ.V!N97</f>
        <v>387.44444444444446</v>
      </c>
      <c r="O330" s="73" t="str">
        <f>CZ.V!O97</f>
        <v>.16-05</v>
      </c>
      <c r="P330" s="25">
        <f>CZ.V!P97</f>
        <v>350</v>
      </c>
      <c r="Q330" s="36" t="str">
        <f>CZ.V!Q97</f>
        <v>.13-04</v>
      </c>
      <c r="R330" s="31" t="str">
        <f>CZ.V!R97</f>
        <v>v.v</v>
      </c>
      <c r="S330" s="25" t="str">
        <f>CZ.V!S97</f>
        <v xml:space="preserve"> </v>
      </c>
      <c r="T330" s="36" t="str">
        <f>CZ.V!T97</f>
        <v xml:space="preserve"> </v>
      </c>
      <c r="U330" s="31" t="str">
        <f>CZ.V!U97</f>
        <v xml:space="preserve"> </v>
      </c>
    </row>
    <row r="331" spans="1:21">
      <c r="A331" s="143" t="str">
        <f>LNOP!A138</f>
        <v>Pentax</v>
      </c>
      <c r="B331" s="11" t="str">
        <f>LNOP!B138</f>
        <v>SMC Pentax-A* ED 200/2.8</v>
      </c>
      <c r="C331" s="16">
        <f>LNOP!C138</f>
        <v>200</v>
      </c>
      <c r="D331" s="18">
        <f>LNOP!D138</f>
        <v>2.8</v>
      </c>
      <c r="E331" s="31">
        <f>LNOP!E138</f>
        <v>320</v>
      </c>
      <c r="F331" s="16" t="str">
        <f>LNOP!F138</f>
        <v>KA</v>
      </c>
      <c r="G331" s="58">
        <f>LNOP!G138</f>
        <v>1.8</v>
      </c>
      <c r="H331" s="53">
        <f>LNOP!H138</f>
        <v>0.85</v>
      </c>
      <c r="I331" s="16">
        <f>LNOP!I138</f>
        <v>138</v>
      </c>
      <c r="J331" s="16">
        <f>LNOP!J138</f>
        <v>91</v>
      </c>
      <c r="K331" s="18">
        <f>LNOP!K138</f>
        <v>77</v>
      </c>
      <c r="L331" s="25">
        <f>LNOP!L138</f>
        <v>661.77777777777783</v>
      </c>
      <c r="M331" s="36" t="str">
        <f>LNOP!M138</f>
        <v>.15-11</v>
      </c>
      <c r="N331" s="25">
        <f>LNOP!N138</f>
        <v>875.5</v>
      </c>
      <c r="O331" s="73" t="str">
        <f>LNOP!O138</f>
        <v>.14-07</v>
      </c>
      <c r="P331" s="25" t="str">
        <f>LNOP!P138</f>
        <v xml:space="preserve"> </v>
      </c>
      <c r="Q331" s="36" t="str">
        <f>LNOP!Q138</f>
        <v xml:space="preserve"> </v>
      </c>
      <c r="R331" s="31" t="str">
        <f>LNOP!R138</f>
        <v xml:space="preserve"> </v>
      </c>
      <c r="S331" s="25" t="str">
        <f>LNOP!S138</f>
        <v xml:space="preserve"> </v>
      </c>
      <c r="T331" s="36" t="str">
        <f>LNOP!T138</f>
        <v xml:space="preserve"> </v>
      </c>
      <c r="U331" s="31" t="str">
        <f>LNOP!U138</f>
        <v xml:space="preserve"> </v>
      </c>
    </row>
    <row r="332" spans="1:21">
      <c r="A332" s="143" t="str">
        <f>CZ.V!A60</f>
        <v>Carl Zeiss</v>
      </c>
      <c r="B332" s="11" t="str">
        <f>CZ.V!B60</f>
        <v>Tele-Tessar T* 200/3.5 CY</v>
      </c>
      <c r="C332" s="16">
        <f>CZ.V!C60</f>
        <v>200</v>
      </c>
      <c r="D332" s="18">
        <f>CZ.V!D60</f>
        <v>3.5</v>
      </c>
      <c r="E332" s="31">
        <f>CZ.V!E60</f>
        <v>320</v>
      </c>
      <c r="F332" s="16" t="str">
        <f>CZ.V!F60</f>
        <v>CY</v>
      </c>
      <c r="G332" s="58">
        <f>CZ.V!G60</f>
        <v>1.8</v>
      </c>
      <c r="H332" s="53">
        <f>CZ.V!H60</f>
        <v>0.78</v>
      </c>
      <c r="I332" s="16">
        <f>CZ.V!I60</f>
        <v>122</v>
      </c>
      <c r="J332" s="16">
        <f>CZ.V!J60</f>
        <v>77.5</v>
      </c>
      <c r="K332" s="18">
        <f>CZ.V!K60</f>
        <v>67</v>
      </c>
      <c r="L332" s="25">
        <f>CZ.V!L60</f>
        <v>168</v>
      </c>
      <c r="M332" s="36" t="str">
        <f>CZ.V!M60</f>
        <v>.16-04</v>
      </c>
      <c r="N332" s="25">
        <f>CZ.V!N60</f>
        <v>271.60000000000002</v>
      </c>
      <c r="O332" s="73" t="str">
        <f>CZ.V!O60</f>
        <v>.15-03</v>
      </c>
      <c r="P332" s="25">
        <f>CZ.V!P60</f>
        <v>125</v>
      </c>
      <c r="Q332" s="36" t="str">
        <f>CZ.V!Q60</f>
        <v>.16-05</v>
      </c>
      <c r="R332" s="31" t="str">
        <f>CZ.V!R60</f>
        <v>keh</v>
      </c>
      <c r="S332" s="25">
        <f>CZ.V!S60</f>
        <v>325</v>
      </c>
      <c r="T332" s="36" t="str">
        <f>CZ.V!T60</f>
        <v>.13-04</v>
      </c>
      <c r="U332" s="31" t="str">
        <f>CZ.V!U60</f>
        <v>kevin</v>
      </c>
    </row>
    <row r="333" spans="1:21">
      <c r="A333" s="143" t="str">
        <f>CZ.V!A61</f>
        <v>Carl Zeiss</v>
      </c>
      <c r="B333" s="11" t="str">
        <f>CZ.V!B61</f>
        <v>Tele-Tessar T* 200/4 CY</v>
      </c>
      <c r="C333" s="16">
        <f>CZ.V!C61</f>
        <v>200</v>
      </c>
      <c r="D333" s="18">
        <f>CZ.V!D61</f>
        <v>4</v>
      </c>
      <c r="E333" s="31">
        <f>CZ.V!E61</f>
        <v>320</v>
      </c>
      <c r="F333" s="16" t="str">
        <f>CZ.V!F61</f>
        <v>CY</v>
      </c>
      <c r="G333" s="58">
        <f>CZ.V!G61</f>
        <v>2</v>
      </c>
      <c r="H333" s="53">
        <f>CZ.V!H61</f>
        <v>0.55000000000000004</v>
      </c>
      <c r="I333" s="16">
        <f>CZ.V!I61</f>
        <v>120.7</v>
      </c>
      <c r="J333" s="16">
        <f>CZ.V!J61</f>
        <v>66</v>
      </c>
      <c r="K333" s="18">
        <f>CZ.V!K61</f>
        <v>55</v>
      </c>
      <c r="L333" s="25">
        <f>CZ.V!L61</f>
        <v>163.6</v>
      </c>
      <c r="M333" s="36" t="str">
        <f>CZ.V!M61</f>
        <v>.16-04</v>
      </c>
      <c r="N333" s="25">
        <f>CZ.V!N61</f>
        <v>268</v>
      </c>
      <c r="O333" s="73" t="str">
        <f>CZ.V!O61</f>
        <v>.16-05</v>
      </c>
      <c r="P333" s="25">
        <f>CZ.V!P61</f>
        <v>174.04</v>
      </c>
      <c r="Q333" s="36" t="str">
        <f>CZ.V!Q61</f>
        <v>.15-04</v>
      </c>
      <c r="R333" s="31" t="str">
        <f>CZ.V!R61</f>
        <v>ctc</v>
      </c>
      <c r="S333" s="25">
        <f>CZ.V!S61</f>
        <v>450</v>
      </c>
      <c r="T333" s="36" t="str">
        <f>CZ.V!T61</f>
        <v>.12-09</v>
      </c>
      <c r="U333" s="31" t="str">
        <f>CZ.V!U61</f>
        <v>v.v</v>
      </c>
    </row>
    <row r="334" spans="1:21">
      <c r="A334" s="143" t="str">
        <f>LNOP!A90</f>
        <v>Olympus</v>
      </c>
      <c r="B334" s="11" t="str">
        <f>LNOP!B90</f>
        <v>Zuiko 200/4 Auto-T</v>
      </c>
      <c r="C334" s="16">
        <f>LNOP!C90</f>
        <v>200</v>
      </c>
      <c r="D334" s="18">
        <f>LNOP!D90</f>
        <v>4</v>
      </c>
      <c r="E334" s="31">
        <f>LNOP!E90</f>
        <v>288</v>
      </c>
      <c r="F334" s="16" t="str">
        <f>LNOP!F90</f>
        <v>OM</v>
      </c>
      <c r="G334" s="58">
        <f>LNOP!G90</f>
        <v>2.5</v>
      </c>
      <c r="H334" s="53">
        <f>LNOP!H90</f>
        <v>0.51</v>
      </c>
      <c r="I334" s="16">
        <f>LNOP!I90</f>
        <v>127</v>
      </c>
      <c r="J334" s="16">
        <f>LNOP!J90</f>
        <v>67</v>
      </c>
      <c r="K334" s="18">
        <f>LNOP!K90</f>
        <v>55</v>
      </c>
      <c r="L334" s="25">
        <f>LNOP!L90</f>
        <v>106</v>
      </c>
      <c r="M334" s="36" t="str">
        <f>LNOP!M90</f>
        <v>.16-01</v>
      </c>
      <c r="N334" s="25">
        <f>LNOP!N90</f>
        <v>174.5</v>
      </c>
      <c r="O334" s="73" t="str">
        <f>LNOP!O90</f>
        <v>.16-03</v>
      </c>
      <c r="P334" s="25">
        <f>LNOP!P90</f>
        <v>100</v>
      </c>
      <c r="Q334" s="36" t="str">
        <f>LNOP!Q90</f>
        <v>.15-11</v>
      </c>
      <c r="R334" s="31" t="str">
        <f>LNOP!R90</f>
        <v>b&amp;h</v>
      </c>
      <c r="S334" s="25" t="str">
        <f>LNOP!S90</f>
        <v xml:space="preserve"> </v>
      </c>
      <c r="T334" s="36" t="str">
        <f>LNOP!T90</f>
        <v xml:space="preserve"> </v>
      </c>
      <c r="U334" s="31" t="str">
        <f>LNOP!U90</f>
        <v xml:space="preserve"> </v>
      </c>
    </row>
    <row r="335" spans="1:21">
      <c r="A335" s="143" t="str">
        <f>LNOP!A139</f>
        <v>Pentax</v>
      </c>
      <c r="B335" s="11" t="str">
        <f>LNOP!B139</f>
        <v>SMC Pentax-A* ED 200/4 Macro</v>
      </c>
      <c r="C335" s="16">
        <f>LNOP!C139</f>
        <v>200</v>
      </c>
      <c r="D335" s="18">
        <f>LNOP!D139</f>
        <v>4</v>
      </c>
      <c r="E335" s="31">
        <f>LNOP!E139</f>
        <v>320</v>
      </c>
      <c r="F335" s="16" t="str">
        <f>LNOP!F139</f>
        <v>KA</v>
      </c>
      <c r="G335" s="58">
        <f>LNOP!G139</f>
        <v>0.55000000000000004</v>
      </c>
      <c r="H335" s="53">
        <f>LNOP!H139</f>
        <v>0.89500000000000002</v>
      </c>
      <c r="I335" s="16">
        <f>LNOP!I139</f>
        <v>145</v>
      </c>
      <c r="J335" s="16">
        <f>LNOP!J139</f>
        <v>71</v>
      </c>
      <c r="K335" s="18">
        <f>LNOP!K139</f>
        <v>58</v>
      </c>
      <c r="L335" s="25">
        <f>LNOP!L139</f>
        <v>2124.25</v>
      </c>
      <c r="M335" s="36" t="str">
        <f>LNOP!M139</f>
        <v>.16-01</v>
      </c>
      <c r="N335" s="25">
        <f>LNOP!N139</f>
        <v>2403.4166666666665</v>
      </c>
      <c r="O335" s="73" t="str">
        <f>LNOP!O139</f>
        <v>.16-01</v>
      </c>
      <c r="P335" s="25" t="str">
        <f>LNOP!P139</f>
        <v xml:space="preserve"> </v>
      </c>
      <c r="Q335" s="36" t="str">
        <f>LNOP!Q139</f>
        <v xml:space="preserve"> </v>
      </c>
      <c r="R335" s="31" t="str">
        <f>LNOP!R139</f>
        <v xml:space="preserve"> </v>
      </c>
      <c r="S335" s="25" t="str">
        <f>LNOP!S139</f>
        <v xml:space="preserve"> </v>
      </c>
      <c r="T335" s="36" t="str">
        <f>LNOP!T139</f>
        <v xml:space="preserve"> </v>
      </c>
      <c r="U335" s="31" t="str">
        <f>LNOP!U139</f>
        <v xml:space="preserve"> </v>
      </c>
    </row>
    <row r="336" spans="1:21">
      <c r="A336" s="144" t="str">
        <f>'645'!A25</f>
        <v>Mamiya</v>
      </c>
      <c r="B336" s="22" t="str">
        <f>'645'!B25</f>
        <v>Mamiya A 200/2.8 APO</v>
      </c>
      <c r="C336" s="27">
        <f>'645'!C25</f>
        <v>200</v>
      </c>
      <c r="D336" s="41" t="str">
        <f>'645'!D25</f>
        <v>2.8</v>
      </c>
      <c r="E336" s="33">
        <f>'645'!E25</f>
        <v>320</v>
      </c>
      <c r="F336" s="27" t="str">
        <f>'645'!F25</f>
        <v>M645</v>
      </c>
      <c r="G336" s="55">
        <f>'645'!G25</f>
        <v>2.5</v>
      </c>
      <c r="H336" s="56">
        <f>'645'!H25</f>
        <v>1.1000000000000001</v>
      </c>
      <c r="I336" s="27">
        <f>'645'!I25</f>
        <v>143.5</v>
      </c>
      <c r="J336" s="27">
        <f>'645'!J25</f>
        <v>91</v>
      </c>
      <c r="K336" s="41">
        <f>'645'!K25</f>
        <v>77</v>
      </c>
      <c r="L336" s="26">
        <f>'645'!L25</f>
        <v>683.33333333333337</v>
      </c>
      <c r="M336" s="24" t="str">
        <f>'645'!M25</f>
        <v>.16-01</v>
      </c>
      <c r="N336" s="26">
        <f>'645'!N25</f>
        <v>1016.2222222222222</v>
      </c>
      <c r="O336" s="124" t="str">
        <f>'645'!O25</f>
        <v>.15-10</v>
      </c>
      <c r="P336" s="26">
        <f>'645'!P25</f>
        <v>850</v>
      </c>
      <c r="Q336" s="24" t="str">
        <f>'645'!Q25</f>
        <v>.13-07</v>
      </c>
      <c r="R336" s="33" t="str">
        <f>'645'!R25</f>
        <v>b&amp;h</v>
      </c>
      <c r="S336" s="26">
        <f>'645'!S25</f>
        <v>1080</v>
      </c>
      <c r="T336" s="24" t="str">
        <f>'645'!T25</f>
        <v>.14-01</v>
      </c>
      <c r="U336" s="33" t="str">
        <f>'645'!U25</f>
        <v>keh</v>
      </c>
    </row>
    <row r="337" spans="1:21">
      <c r="A337" s="144" t="str">
        <f>'645'!A19</f>
        <v>Mamiya</v>
      </c>
      <c r="B337" s="22" t="str">
        <f>'645'!B19</f>
        <v>Mamiya-Sekor C 210/4 N</v>
      </c>
      <c r="C337" s="27">
        <f>'645'!C19</f>
        <v>210</v>
      </c>
      <c r="D337" s="41">
        <f>'645'!D19</f>
        <v>4</v>
      </c>
      <c r="E337" s="33">
        <f>'645'!E19</f>
        <v>336</v>
      </c>
      <c r="F337" s="27" t="str">
        <f>'645'!F19</f>
        <v>M645</v>
      </c>
      <c r="G337" s="55">
        <f>'645'!G19</f>
        <v>2.5</v>
      </c>
      <c r="H337" s="56">
        <f>'645'!H19</f>
        <v>0.71499999999999997</v>
      </c>
      <c r="I337" s="27">
        <f>'645'!I19</f>
        <v>137</v>
      </c>
      <c r="J337" s="27">
        <f>'645'!J19</f>
        <v>70</v>
      </c>
      <c r="K337" s="41">
        <f>'645'!K19</f>
        <v>58</v>
      </c>
      <c r="L337" s="26">
        <f>'645'!L19</f>
        <v>89.7</v>
      </c>
      <c r="M337" s="24" t="str">
        <f>'645'!M19</f>
        <v>.15-09</v>
      </c>
      <c r="N337" s="26">
        <f>'645'!N19</f>
        <v>145</v>
      </c>
      <c r="O337" s="124" t="str">
        <f>'645'!O19</f>
        <v>.16-01</v>
      </c>
      <c r="P337" s="26">
        <f>'645'!P19</f>
        <v>62</v>
      </c>
      <c r="Q337" s="24" t="str">
        <f>'645'!Q19</f>
        <v>.16-01</v>
      </c>
      <c r="R337" s="33" t="str">
        <f>'645'!R19</f>
        <v>keh</v>
      </c>
      <c r="S337" s="26">
        <f>'645'!S19</f>
        <v>98.04</v>
      </c>
      <c r="T337" s="24" t="str">
        <f>'645'!T19</f>
        <v>.16-05</v>
      </c>
      <c r="U337" s="33" t="str">
        <f>'645'!U19</f>
        <v>ctc</v>
      </c>
    </row>
    <row r="338" spans="1:21">
      <c r="A338" s="143" t="str">
        <f>LNOP!A91</f>
        <v>Olympus</v>
      </c>
      <c r="B338" s="11" t="str">
        <f>LNOP!B91</f>
        <v>Zuiko 250/2 Auto-T</v>
      </c>
      <c r="C338" s="16">
        <f>LNOP!C91</f>
        <v>250</v>
      </c>
      <c r="D338" s="18">
        <f>LNOP!D91</f>
        <v>2</v>
      </c>
      <c r="E338" s="31">
        <f>LNOP!E91</f>
        <v>400</v>
      </c>
      <c r="F338" s="16" t="str">
        <f>LNOP!F91</f>
        <v>OM</v>
      </c>
      <c r="G338" s="58">
        <f>LNOP!G91</f>
        <v>2.2000000000000002</v>
      </c>
      <c r="H338" s="53">
        <f>LNOP!H91</f>
        <v>3.9</v>
      </c>
      <c r="I338" s="16">
        <f>LNOP!I91</f>
        <v>246</v>
      </c>
      <c r="J338" s="16">
        <f>LNOP!J91</f>
        <v>142</v>
      </c>
      <c r="K338" s="18" t="str">
        <f>LNOP!K91</f>
        <v>46di</v>
      </c>
      <c r="L338" s="25">
        <f>LNOP!L91</f>
        <v>2900</v>
      </c>
      <c r="M338" s="36" t="str">
        <f>LNOP!M91</f>
        <v>.16-04</v>
      </c>
      <c r="N338" s="25">
        <f>LNOP!N91</f>
        <v>3425</v>
      </c>
      <c r="O338" s="73" t="str">
        <f>LNOP!O91</f>
        <v>.13-02</v>
      </c>
      <c r="P338" s="25" t="str">
        <f>LNOP!P91</f>
        <v xml:space="preserve"> </v>
      </c>
      <c r="Q338" s="36" t="str">
        <f>LNOP!Q91</f>
        <v xml:space="preserve"> </v>
      </c>
      <c r="R338" s="31" t="str">
        <f>LNOP!R91</f>
        <v xml:space="preserve"> </v>
      </c>
      <c r="S338" s="25">
        <f>LNOP!S91</f>
        <v>4500</v>
      </c>
      <c r="T338" s="36" t="str">
        <f>LNOP!T91</f>
        <v>.13-04</v>
      </c>
      <c r="U338" s="31" t="str">
        <f>LNOP!U91</f>
        <v>kevin</v>
      </c>
    </row>
    <row r="339" spans="1:21">
      <c r="A339" s="143" t="str">
        <f>LNOP!A36</f>
        <v>Leica</v>
      </c>
      <c r="B339" s="11" t="str">
        <f>LNOP!B36</f>
        <v>Telyt-R 250/4</v>
      </c>
      <c r="C339" s="16">
        <f>LNOP!C36</f>
        <v>250</v>
      </c>
      <c r="D339" s="18">
        <f>LNOP!D36</f>
        <v>4</v>
      </c>
      <c r="E339" s="31">
        <f>LNOP!E36</f>
        <v>400</v>
      </c>
      <c r="F339" s="16" t="str">
        <f>LNOP!F36</f>
        <v>LR</v>
      </c>
      <c r="G339" s="58">
        <f>LNOP!G36</f>
        <v>4</v>
      </c>
      <c r="H339" s="53">
        <f>LNOP!H36</f>
        <v>0.49</v>
      </c>
      <c r="I339" s="16" t="str">
        <f>LNOP!I36</f>
        <v xml:space="preserve"> </v>
      </c>
      <c r="J339" s="16">
        <f>LNOP!J36</f>
        <v>77.5</v>
      </c>
      <c r="K339" s="18" t="str">
        <f>LNOP!K36</f>
        <v>s8</v>
      </c>
      <c r="L339" s="25">
        <f>LNOP!L36</f>
        <v>302.875</v>
      </c>
      <c r="M339" s="36" t="str">
        <f>LNOP!M36</f>
        <v>.16-05</v>
      </c>
      <c r="N339" s="25">
        <f>LNOP!N36</f>
        <v>518.09090909090912</v>
      </c>
      <c r="O339" s="73" t="str">
        <f>LNOP!O36</f>
        <v>.16-01</v>
      </c>
      <c r="P339" s="25">
        <f>LNOP!P36</f>
        <v>247</v>
      </c>
      <c r="Q339" s="36" t="str">
        <f>LNOP!Q36</f>
        <v>.15-11</v>
      </c>
      <c r="R339" s="31" t="str">
        <f>LNOP!R36</f>
        <v>v.v</v>
      </c>
      <c r="S339" s="25">
        <f>LNOP!S36</f>
        <v>450</v>
      </c>
      <c r="T339" s="36" t="str">
        <f>LNOP!T36</f>
        <v>.16-01</v>
      </c>
      <c r="U339" s="31" t="str">
        <f>LNOP!U36</f>
        <v>L-shop</v>
      </c>
    </row>
    <row r="340" spans="1:21">
      <c r="A340" s="144" t="str">
        <f>'645'!A35</f>
        <v>Sch-K</v>
      </c>
      <c r="B340" s="22" t="str">
        <f>'645'!B35</f>
        <v>Tele-Xenar MF 250/5.6</v>
      </c>
      <c r="C340" s="27">
        <f>'645'!C35</f>
        <v>250</v>
      </c>
      <c r="D340" s="41" t="str">
        <f>'645'!D35</f>
        <v>5.6</v>
      </c>
      <c r="E340" s="33">
        <f>'645'!E35</f>
        <v>400</v>
      </c>
      <c r="F340" s="27" t="str">
        <f>'645'!F35</f>
        <v>P6</v>
      </c>
      <c r="G340" s="55">
        <f>'645'!G35</f>
        <v>3</v>
      </c>
      <c r="H340" s="56">
        <f>'645'!H35</f>
        <v>0.9</v>
      </c>
      <c r="I340" s="27">
        <f>'645'!I35</f>
        <v>168</v>
      </c>
      <c r="J340" s="27">
        <f>'645'!J35</f>
        <v>84</v>
      </c>
      <c r="K340" s="41">
        <f>'645'!K35</f>
        <v>67</v>
      </c>
      <c r="L340" s="26">
        <f>'645'!L35</f>
        <v>660</v>
      </c>
      <c r="M340" s="24" t="str">
        <f>'645'!M35</f>
        <v>.11-12</v>
      </c>
      <c r="N340" s="26">
        <f>'645'!N35</f>
        <v>1350</v>
      </c>
      <c r="O340" s="124" t="str">
        <f>'645'!O35</f>
        <v>.12-12</v>
      </c>
      <c r="P340" s="26" t="str">
        <f>'645'!P35</f>
        <v xml:space="preserve"> </v>
      </c>
      <c r="Q340" s="24" t="str">
        <f>'645'!Q35</f>
        <v xml:space="preserve"> </v>
      </c>
      <c r="R340" s="33" t="str">
        <f>'645'!R35</f>
        <v xml:space="preserve"> </v>
      </c>
      <c r="S340" s="26" t="str">
        <f>'645'!S35</f>
        <v xml:space="preserve"> </v>
      </c>
      <c r="T340" s="24" t="str">
        <f>'645'!T35</f>
        <v xml:space="preserve"> </v>
      </c>
      <c r="U340" s="33" t="str">
        <f>'645'!U35</f>
        <v xml:space="preserve"> </v>
      </c>
    </row>
    <row r="341" spans="1:21">
      <c r="A341" s="143" t="str">
        <f>LNOP!A37</f>
        <v>Leica</v>
      </c>
      <c r="B341" s="11" t="str">
        <f>LNOP!B37</f>
        <v xml:space="preserve">Apo-Telyt-R 280/2.8 </v>
      </c>
      <c r="C341" s="16">
        <f>LNOP!C37</f>
        <v>280</v>
      </c>
      <c r="D341" s="18">
        <f>LNOP!D37</f>
        <v>2.8</v>
      </c>
      <c r="E341" s="31">
        <f>LNOP!E37</f>
        <v>448</v>
      </c>
      <c r="F341" s="16" t="str">
        <f>LNOP!F37</f>
        <v>LR</v>
      </c>
      <c r="G341" s="58" t="str">
        <f>LNOP!G37</f>
        <v xml:space="preserve"> </v>
      </c>
      <c r="H341" s="53" t="str">
        <f>LNOP!H37</f>
        <v xml:space="preserve"> </v>
      </c>
      <c r="I341" s="16" t="str">
        <f>LNOP!I37</f>
        <v xml:space="preserve"> </v>
      </c>
      <c r="J341" s="16" t="str">
        <f>LNOP!J37</f>
        <v xml:space="preserve"> </v>
      </c>
      <c r="K341" s="18" t="str">
        <f>LNOP!K37</f>
        <v xml:space="preserve"> </v>
      </c>
      <c r="L341" s="25">
        <f>LNOP!L37</f>
        <v>2118.3636363636365</v>
      </c>
      <c r="M341" s="36" t="str">
        <f>LNOP!M37</f>
        <v>.16-05</v>
      </c>
      <c r="N341" s="25">
        <f>LNOP!N37</f>
        <v>3084.125</v>
      </c>
      <c r="O341" s="73" t="str">
        <f>LNOP!O37</f>
        <v>.16-05</v>
      </c>
      <c r="P341" s="25">
        <f>LNOP!P37</f>
        <v>3050</v>
      </c>
      <c r="Q341" s="36" t="str">
        <f>LNOP!Q37</f>
        <v>.13-07</v>
      </c>
      <c r="R341" s="31" t="str">
        <f>LNOP!R37</f>
        <v>ado</v>
      </c>
      <c r="S341" s="25">
        <f>LNOP!S37</f>
        <v>6795</v>
      </c>
      <c r="T341" s="36" t="str">
        <f>LNOP!T37</f>
        <v>.10-04</v>
      </c>
      <c r="U341" s="31" t="str">
        <f>LNOP!U37</f>
        <v>camW</v>
      </c>
    </row>
    <row r="342" spans="1:21">
      <c r="A342" s="144" t="str">
        <f>LNOP!A38</f>
        <v>Leica</v>
      </c>
      <c r="B342" s="22" t="str">
        <f>LNOP!B38</f>
        <v>Apo-Telyt-R 280/4 ROM</v>
      </c>
      <c r="C342" s="27">
        <f>LNOP!C38</f>
        <v>280</v>
      </c>
      <c r="D342" s="41">
        <f>LNOP!D38</f>
        <v>4</v>
      </c>
      <c r="E342" s="33">
        <f>LNOP!E38</f>
        <v>448</v>
      </c>
      <c r="F342" s="27" t="str">
        <f>LNOP!F38</f>
        <v>LR</v>
      </c>
      <c r="G342" s="55">
        <f>LNOP!G38</f>
        <v>1.7</v>
      </c>
      <c r="H342" s="56">
        <f>LNOP!H38</f>
        <v>1.875</v>
      </c>
      <c r="I342" s="27">
        <f>LNOP!I38</f>
        <v>208</v>
      </c>
      <c r="J342" s="27">
        <f>LNOP!J38</f>
        <v>88</v>
      </c>
      <c r="K342" s="41">
        <f>LNOP!K38</f>
        <v>77</v>
      </c>
      <c r="L342" s="26">
        <f>LNOP!L38</f>
        <v>1849</v>
      </c>
      <c r="M342" s="24" t="str">
        <f>LNOP!M38</f>
        <v>.11-10</v>
      </c>
      <c r="N342" s="26">
        <f>LNOP!N38</f>
        <v>4666</v>
      </c>
      <c r="O342" s="124" t="str">
        <f>LNOP!O38</f>
        <v>.15-01</v>
      </c>
      <c r="P342" s="26" t="str">
        <f>LNOP!P38</f>
        <v xml:space="preserve"> </v>
      </c>
      <c r="Q342" s="24" t="str">
        <f>LNOP!Q38</f>
        <v xml:space="preserve"> </v>
      </c>
      <c r="R342" s="33" t="str">
        <f>LNOP!R38</f>
        <v xml:space="preserve"> </v>
      </c>
      <c r="S342" s="26">
        <f>LNOP!S38</f>
        <v>3995</v>
      </c>
      <c r="T342" s="24" t="str">
        <f>LNOP!T38</f>
        <v>.10-05</v>
      </c>
      <c r="U342" s="33" t="str">
        <f>LNOP!U38</f>
        <v>camW</v>
      </c>
    </row>
    <row r="343" spans="1:21">
      <c r="A343" s="143" t="str">
        <f>LNOP!A59</f>
        <v>Nikon</v>
      </c>
      <c r="B343" s="11" t="str">
        <f>LNOP!B59</f>
        <v>Nikkor *ED 300/2 IF N</v>
      </c>
      <c r="C343" s="16">
        <f>LNOP!C59</f>
        <v>300</v>
      </c>
      <c r="D343" s="18">
        <f>LNOP!D59</f>
        <v>2</v>
      </c>
      <c r="E343" s="31">
        <f>LNOP!E59</f>
        <v>480</v>
      </c>
      <c r="F343" s="16" t="str">
        <f>LNOP!F59</f>
        <v>AIS</v>
      </c>
      <c r="G343" s="58" t="str">
        <f>LNOP!G59</f>
        <v>-</v>
      </c>
      <c r="H343" s="53">
        <f>LNOP!H59</f>
        <v>7.1</v>
      </c>
      <c r="I343" s="16">
        <f>LNOP!I59</f>
        <v>331</v>
      </c>
      <c r="J343" s="16">
        <f>LNOP!J59</f>
        <v>183</v>
      </c>
      <c r="K343" s="18" t="str">
        <f>LNOP!K59</f>
        <v>52 di</v>
      </c>
      <c r="L343" s="25">
        <f>LNOP!L59</f>
        <v>6658</v>
      </c>
      <c r="M343" s="36" t="str">
        <f>LNOP!M59</f>
        <v>.15-04</v>
      </c>
      <c r="N343" s="25">
        <f>LNOP!N59</f>
        <v>0</v>
      </c>
      <c r="O343" s="73" t="str">
        <f>LNOP!O59</f>
        <v xml:space="preserve"> </v>
      </c>
      <c r="P343" s="25" t="str">
        <f>LNOP!P59</f>
        <v xml:space="preserve"> </v>
      </c>
      <c r="Q343" s="36" t="str">
        <f>LNOP!Q59</f>
        <v xml:space="preserve"> </v>
      </c>
      <c r="R343" s="31" t="str">
        <f>LNOP!R59</f>
        <v xml:space="preserve"> </v>
      </c>
      <c r="S343" s="25" t="str">
        <f>LNOP!S59</f>
        <v xml:space="preserve"> </v>
      </c>
      <c r="T343" s="36" t="str">
        <f>LNOP!T59</f>
        <v xml:space="preserve"> </v>
      </c>
      <c r="U343" s="31" t="str">
        <f>LNOP!U59</f>
        <v xml:space="preserve"> </v>
      </c>
    </row>
    <row r="344" spans="1:21">
      <c r="A344" s="143" t="str">
        <f>EFp!A50</f>
        <v>Canon</v>
      </c>
      <c r="B344" s="11" t="str">
        <f>EFp!B50</f>
        <v xml:space="preserve">EF 300/2.8 L USM </v>
      </c>
      <c r="C344" s="16">
        <f>EFp!C50</f>
        <v>300</v>
      </c>
      <c r="D344" s="18">
        <f>EFp!D50</f>
        <v>2.8</v>
      </c>
      <c r="E344" s="31">
        <f>EFp!E50</f>
        <v>480</v>
      </c>
      <c r="F344" s="16" t="str">
        <f>EFp!F50</f>
        <v>EF</v>
      </c>
      <c r="G344" s="58">
        <f>EFp!G50</f>
        <v>3</v>
      </c>
      <c r="H344" s="53">
        <f>EFp!H50</f>
        <v>2.855</v>
      </c>
      <c r="I344" s="16">
        <f>EFp!I50</f>
        <v>253</v>
      </c>
      <c r="J344" s="16">
        <f>EFp!J50</f>
        <v>125</v>
      </c>
      <c r="K344" s="18" t="str">
        <f>EFp!K50</f>
        <v>48 di</v>
      </c>
      <c r="L344" s="25">
        <f>EFp!L50</f>
        <v>1703.8</v>
      </c>
      <c r="M344" s="36" t="str">
        <f>EFp!M50</f>
        <v>.16-05</v>
      </c>
      <c r="N344" s="25">
        <f>EFp!N50</f>
        <v>2539.5714285714284</v>
      </c>
      <c r="O344" s="73" t="str">
        <f>EFp!O50</f>
        <v>.15-11</v>
      </c>
      <c r="P344" s="25">
        <f>EFp!P50</f>
        <v>2800</v>
      </c>
      <c r="Q344" s="36" t="str">
        <f>EFp!Q50</f>
        <v>.16-01</v>
      </c>
      <c r="R344" s="31" t="str">
        <f>EFp!R50</f>
        <v>keh</v>
      </c>
      <c r="S344" s="25" t="str">
        <f>EFp!S50</f>
        <v xml:space="preserve"> </v>
      </c>
      <c r="T344" s="36" t="str">
        <f>EFp!T50</f>
        <v xml:space="preserve"> </v>
      </c>
      <c r="U344" s="31" t="str">
        <f>EFp!U50</f>
        <v xml:space="preserve"> </v>
      </c>
    </row>
    <row r="345" spans="1:21">
      <c r="A345" s="143" t="str">
        <f>EFp!A51</f>
        <v>Canon</v>
      </c>
      <c r="B345" s="11" t="str">
        <f>EFp!B51</f>
        <v>EF 300/2.8 L IS USM</v>
      </c>
      <c r="C345" s="16">
        <f>EFp!C51</f>
        <v>300</v>
      </c>
      <c r="D345" s="18">
        <f>EFp!D51</f>
        <v>2.8</v>
      </c>
      <c r="E345" s="31">
        <f>EFp!E51</f>
        <v>480</v>
      </c>
      <c r="F345" s="16" t="str">
        <f>EFp!F51</f>
        <v>EF</v>
      </c>
      <c r="G345" s="58">
        <f>EFp!G51</f>
        <v>2.5</v>
      </c>
      <c r="H345" s="53">
        <f>EFp!H51</f>
        <v>2.5499999999999998</v>
      </c>
      <c r="I345" s="16">
        <f>EFp!I51</f>
        <v>252</v>
      </c>
      <c r="J345" s="16">
        <f>EFp!J51</f>
        <v>128</v>
      </c>
      <c r="K345" s="18" t="str">
        <f>EFp!K51</f>
        <v>52 di</v>
      </c>
      <c r="L345" s="25">
        <f>EFp!L51</f>
        <v>2929.625</v>
      </c>
      <c r="M345" s="36" t="str">
        <f>EFp!M51</f>
        <v>.16-05</v>
      </c>
      <c r="N345" s="25">
        <f>EFp!N51</f>
        <v>3841.4872777777782</v>
      </c>
      <c r="O345" s="73" t="str">
        <f>EFp!O51</f>
        <v>.16-01</v>
      </c>
      <c r="P345" s="25">
        <f>EFp!P51</f>
        <v>1995</v>
      </c>
      <c r="Q345" s="36" t="str">
        <f>EFp!Q51</f>
        <v>.16-01</v>
      </c>
      <c r="R345" s="31" t="str">
        <f>EFp!R51</f>
        <v>igor</v>
      </c>
      <c r="S345" s="25">
        <f>EFp!S51</f>
        <v>3648</v>
      </c>
      <c r="T345" s="36" t="str">
        <f>EFp!T51</f>
        <v>.16-01</v>
      </c>
      <c r="U345" s="31" t="str">
        <f>EFp!U51</f>
        <v>camtec</v>
      </c>
    </row>
    <row r="346" spans="1:21">
      <c r="A346" s="143" t="str">
        <f>EFp!A52</f>
        <v>Canon</v>
      </c>
      <c r="B346" s="11" t="str">
        <f>EFp!B52</f>
        <v xml:space="preserve">EF 300/2.8 L IS II USM </v>
      </c>
      <c r="C346" s="16">
        <f>EFp!C52</f>
        <v>300</v>
      </c>
      <c r="D346" s="18">
        <f>EFp!D52</f>
        <v>2.8</v>
      </c>
      <c r="E346" s="31">
        <f>EFp!E52</f>
        <v>480</v>
      </c>
      <c r="F346" s="16" t="str">
        <f>EFp!F52</f>
        <v>EF</v>
      </c>
      <c r="G346" s="58">
        <f>EFp!G52</f>
        <v>2</v>
      </c>
      <c r="H346" s="53">
        <f>EFp!H52</f>
        <v>2.35</v>
      </c>
      <c r="I346" s="16">
        <f>EFp!I52</f>
        <v>248</v>
      </c>
      <c r="J346" s="16">
        <f>EFp!J52</f>
        <v>128</v>
      </c>
      <c r="K346" s="18" t="str">
        <f>EFp!K52</f>
        <v>52 di</v>
      </c>
      <c r="L346" s="25">
        <f>EFp!L52</f>
        <v>4821.090909090909</v>
      </c>
      <c r="M346" s="36" t="str">
        <f>EFp!M52</f>
        <v>.16-05</v>
      </c>
      <c r="N346" s="25">
        <f>EFp!N52</f>
        <v>5852.8571428571431</v>
      </c>
      <c r="O346" s="73" t="str">
        <f>EFp!O52</f>
        <v>.16-01</v>
      </c>
      <c r="P346" s="25">
        <f>EFp!P52</f>
        <v>5000</v>
      </c>
      <c r="Q346" s="36" t="str">
        <f>EFp!Q52</f>
        <v>.16-01</v>
      </c>
      <c r="R346" s="31" t="str">
        <f>EFp!R52</f>
        <v>LA</v>
      </c>
      <c r="S346" s="25">
        <f>EFp!S52</f>
        <v>5800</v>
      </c>
      <c r="T346" s="36" t="str">
        <f>EFp!T52</f>
        <v>.15-04</v>
      </c>
      <c r="U346" s="31" t="str">
        <f>EFp!U52</f>
        <v>keh</v>
      </c>
    </row>
    <row r="347" spans="1:21">
      <c r="A347" s="143" t="str">
        <f>STT!A25</f>
        <v>Sigma</v>
      </c>
      <c r="B347" s="11" t="str">
        <f>STT!B25</f>
        <v>EX 300/2.8 AF APO</v>
      </c>
      <c r="C347" s="16">
        <f>STT!C25</f>
        <v>300</v>
      </c>
      <c r="D347" s="18">
        <f>STT!D25</f>
        <v>2.8</v>
      </c>
      <c r="E347" s="31">
        <f>STT!E25</f>
        <v>480</v>
      </c>
      <c r="F347" s="16" t="str">
        <f>STT!F25</f>
        <v>EF</v>
      </c>
      <c r="G347" s="58">
        <f>STT!G25</f>
        <v>2.5</v>
      </c>
      <c r="H347" s="53">
        <f>STT!H25</f>
        <v>2.4</v>
      </c>
      <c r="I347" s="16">
        <f>STT!I25</f>
        <v>214</v>
      </c>
      <c r="J347" s="16">
        <f>STT!J25</f>
        <v>119</v>
      </c>
      <c r="K347" s="18">
        <f>STT!K25</f>
        <v>46</v>
      </c>
      <c r="L347" s="25">
        <f>STT!L25</f>
        <v>898.66666666666663</v>
      </c>
      <c r="M347" s="36" t="str">
        <f>STT!M25</f>
        <v>.16-05</v>
      </c>
      <c r="N347" s="25">
        <f>STT!N25</f>
        <v>1647.8571428571429</v>
      </c>
      <c r="O347" s="73" t="str">
        <f>STT!O25</f>
        <v>.16-01</v>
      </c>
      <c r="P347" s="25">
        <f>STT!P25</f>
        <v>1900</v>
      </c>
      <c r="Q347" s="36" t="str">
        <f>STT!Q25</f>
        <v>.14-03</v>
      </c>
      <c r="R347" s="31" t="str">
        <f>STT!R25</f>
        <v>keh</v>
      </c>
      <c r="S347" s="25">
        <f>STT!S25</f>
        <v>2600</v>
      </c>
      <c r="T347" s="36" t="str">
        <f>STT!T25</f>
        <v>.14-08</v>
      </c>
      <c r="U347" s="31" t="str">
        <f>STT!U25</f>
        <v>ado</v>
      </c>
    </row>
    <row r="348" spans="1:21">
      <c r="A348" s="143" t="str">
        <f>STT!A59</f>
        <v>Tamron</v>
      </c>
      <c r="B348" s="11" t="str">
        <f>STT!B59</f>
        <v>SP 300/2.8 MF LD IF full set</v>
      </c>
      <c r="C348" s="16">
        <f>STT!C59</f>
        <v>300</v>
      </c>
      <c r="D348" s="18">
        <f>STT!D59</f>
        <v>2.8</v>
      </c>
      <c r="E348" s="31">
        <f>STT!E59</f>
        <v>480</v>
      </c>
      <c r="F348" s="16" t="str">
        <f>STT!F59</f>
        <v>A2</v>
      </c>
      <c r="G348" s="58">
        <f>STT!G59</f>
        <v>2.5</v>
      </c>
      <c r="H348" s="53">
        <f>STT!H59</f>
        <v>2.21</v>
      </c>
      <c r="I348" s="16">
        <f>STT!I59</f>
        <v>212</v>
      </c>
      <c r="J348" s="16">
        <f>STT!J59</f>
        <v>120</v>
      </c>
      <c r="K348" s="18" t="str">
        <f>STT!K59</f>
        <v>43di</v>
      </c>
      <c r="L348" s="25">
        <f>STT!L59</f>
        <v>646.4</v>
      </c>
      <c r="M348" s="36" t="str">
        <f>STT!M59</f>
        <v>.15-04</v>
      </c>
      <c r="N348" s="25">
        <f>STT!N59</f>
        <v>879.22222222222217</v>
      </c>
      <c r="O348" s="73" t="str">
        <f>STT!O59</f>
        <v>.15-08</v>
      </c>
      <c r="P348" s="25">
        <f>STT!P59</f>
        <v>1250</v>
      </c>
      <c r="Q348" s="36" t="str">
        <f>STT!Q59</f>
        <v>.12-01</v>
      </c>
      <c r="R348" s="31" t="str">
        <f>STT!R59</f>
        <v>ado</v>
      </c>
      <c r="S348" s="25">
        <f>STT!S59</f>
        <v>1550</v>
      </c>
      <c r="T348" s="36" t="str">
        <f>STT!T59</f>
        <v>.12-09</v>
      </c>
      <c r="U348" s="31" t="str">
        <f>STT!U59</f>
        <v>v.v</v>
      </c>
    </row>
    <row r="349" spans="1:21">
      <c r="A349" s="143" t="str">
        <f>STT!A60</f>
        <v>Tamron</v>
      </c>
      <c r="B349" s="11" t="str">
        <f>STT!B60</f>
        <v>SP 300/2.8 MF LD IF</v>
      </c>
      <c r="C349" s="16">
        <f>STT!C60</f>
        <v>300</v>
      </c>
      <c r="D349" s="18">
        <f>STT!D60</f>
        <v>2.8</v>
      </c>
      <c r="E349" s="31">
        <f>STT!E60</f>
        <v>480</v>
      </c>
      <c r="F349" s="16" t="str">
        <f>STT!F60</f>
        <v>A2</v>
      </c>
      <c r="G349" s="58">
        <f>STT!G60</f>
        <v>2.5</v>
      </c>
      <c r="H349" s="53">
        <f>STT!H60</f>
        <v>2.21</v>
      </c>
      <c r="I349" s="16">
        <f>STT!I60</f>
        <v>212</v>
      </c>
      <c r="J349" s="16">
        <f>STT!J60</f>
        <v>120</v>
      </c>
      <c r="K349" s="18" t="str">
        <f>STT!K60</f>
        <v>43di</v>
      </c>
      <c r="L349" s="25">
        <f>STT!L60</f>
        <v>506.90909090909093</v>
      </c>
      <c r="M349" s="36" t="str">
        <f>STT!M60</f>
        <v>.16-05</v>
      </c>
      <c r="N349" s="25">
        <f>STT!N60</f>
        <v>633.28571428571433</v>
      </c>
      <c r="O349" s="73" t="str">
        <f>STT!O60</f>
        <v>.15-04</v>
      </c>
      <c r="P349" s="25">
        <f>STT!P60</f>
        <v>650</v>
      </c>
      <c r="Q349" s="36" t="str">
        <f>STT!Q60</f>
        <v>.14-08</v>
      </c>
      <c r="R349" s="31" t="str">
        <f>STT!R60</f>
        <v>ado</v>
      </c>
      <c r="S349" s="25" t="str">
        <f>STT!S60</f>
        <v xml:space="preserve"> </v>
      </c>
      <c r="T349" s="36" t="str">
        <f>STT!T60</f>
        <v xml:space="preserve"> </v>
      </c>
      <c r="U349" s="31" t="str">
        <f>STT!U60</f>
        <v xml:space="preserve"> </v>
      </c>
    </row>
    <row r="350" spans="1:21">
      <c r="A350" s="143" t="str">
        <f>STT!A61</f>
        <v>Tamron</v>
      </c>
      <c r="B350" s="11" t="str">
        <f>STT!B61</f>
        <v>SP 300/2.8 AF LD IF</v>
      </c>
      <c r="C350" s="16">
        <f>STT!C61</f>
        <v>300</v>
      </c>
      <c r="D350" s="18">
        <f>STT!D61</f>
        <v>2.8</v>
      </c>
      <c r="E350" s="31">
        <f>STT!E61</f>
        <v>480</v>
      </c>
      <c r="F350" s="16" t="str">
        <f>STT!F61</f>
        <v>EF</v>
      </c>
      <c r="G350" s="58">
        <f>STT!G61</f>
        <v>2.5</v>
      </c>
      <c r="H350" s="53">
        <f>STT!H61</f>
        <v>2.8</v>
      </c>
      <c r="I350" s="16">
        <f>STT!I61</f>
        <v>216</v>
      </c>
      <c r="J350" s="16">
        <f>STT!J61</f>
        <v>119</v>
      </c>
      <c r="K350" s="18" t="str">
        <f>STT!K61</f>
        <v>43di</v>
      </c>
      <c r="L350" s="25">
        <f>STT!L61</f>
        <v>679</v>
      </c>
      <c r="M350" s="36" t="str">
        <f>STT!M61</f>
        <v>.16-01</v>
      </c>
      <c r="N350" s="25">
        <f>STT!N61</f>
        <v>1442.5</v>
      </c>
      <c r="O350" s="73" t="str">
        <f>STT!O61</f>
        <v>.13-02</v>
      </c>
      <c r="P350" s="25">
        <f>STT!P61</f>
        <v>995</v>
      </c>
      <c r="Q350" s="36" t="str">
        <f>STT!Q61</f>
        <v>.14-08</v>
      </c>
      <c r="R350" s="31" t="str">
        <f>STT!R61</f>
        <v>jack's</v>
      </c>
      <c r="S350" s="25">
        <f>STT!S61</f>
        <v>1800</v>
      </c>
      <c r="T350" s="36" t="str">
        <f>STT!T61</f>
        <v>.15-04</v>
      </c>
      <c r="U350" s="31" t="str">
        <f>STT!U61</f>
        <v>b&amp;h</v>
      </c>
    </row>
    <row r="351" spans="1:21">
      <c r="A351" s="143" t="str">
        <f>STT!A91</f>
        <v>Tokina</v>
      </c>
      <c r="B351" s="11" t="str">
        <f>STT!B91</f>
        <v>AT-X 300/2.8 AF PRO</v>
      </c>
      <c r="C351" s="16">
        <f>STT!C91</f>
        <v>300</v>
      </c>
      <c r="D351" s="18">
        <f>STT!D91</f>
        <v>2.8</v>
      </c>
      <c r="E351" s="31">
        <f>STT!E91</f>
        <v>480</v>
      </c>
      <c r="F351" s="16" t="str">
        <f>STT!F91</f>
        <v>EF</v>
      </c>
      <c r="G351" s="58">
        <f>STT!G91</f>
        <v>2.4</v>
      </c>
      <c r="H351" s="53">
        <f>STT!H91</f>
        <v>2.2999999999999998</v>
      </c>
      <c r="I351" s="16">
        <f>STT!I91</f>
        <v>187</v>
      </c>
      <c r="J351" s="16">
        <f>STT!J91</f>
        <v>117</v>
      </c>
      <c r="K351" s="18">
        <f>STT!K91</f>
        <v>112</v>
      </c>
      <c r="L351" s="25">
        <f>STT!L91</f>
        <v>836.33333333333337</v>
      </c>
      <c r="M351" s="36" t="str">
        <f>STT!M91</f>
        <v>.16-05</v>
      </c>
      <c r="N351" s="25">
        <f>STT!N91</f>
        <v>1449.3333333333333</v>
      </c>
      <c r="O351" s="73" t="str">
        <f>STT!O91</f>
        <v>.14-11</v>
      </c>
      <c r="P351" s="25" t="str">
        <f>STT!P91</f>
        <v>1302</v>
      </c>
      <c r="Q351" s="36" t="str">
        <f>STT!Q91</f>
        <v>.14-08</v>
      </c>
      <c r="R351" s="31" t="str">
        <f>STT!R91</f>
        <v>keh</v>
      </c>
      <c r="S351" s="25" t="str">
        <f>STT!S91</f>
        <v xml:space="preserve"> </v>
      </c>
      <c r="T351" s="36" t="str">
        <f>STT!T91</f>
        <v xml:space="preserve"> </v>
      </c>
      <c r="U351" s="31" t="str">
        <f>STT!U91</f>
        <v xml:space="preserve"> </v>
      </c>
    </row>
    <row r="352" spans="1:21">
      <c r="A352" s="143" t="str">
        <f>STT!A92</f>
        <v>Tokina</v>
      </c>
      <c r="B352" s="11" t="str">
        <f>STT!B92</f>
        <v>AT-X 300/2.8 SD MF</v>
      </c>
      <c r="C352" s="16">
        <f>STT!C92</f>
        <v>300</v>
      </c>
      <c r="D352" s="18">
        <f>STT!D92</f>
        <v>2.8</v>
      </c>
      <c r="E352" s="31">
        <f>STT!E92</f>
        <v>480</v>
      </c>
      <c r="F352" s="16" t="str">
        <f>STT!F92</f>
        <v>x</v>
      </c>
      <c r="G352" s="58" t="str">
        <f>STT!G92</f>
        <v xml:space="preserve"> </v>
      </c>
      <c r="H352" s="53" t="str">
        <f>STT!H92</f>
        <v xml:space="preserve"> </v>
      </c>
      <c r="I352" s="16" t="str">
        <f>STT!I92</f>
        <v xml:space="preserve"> </v>
      </c>
      <c r="J352" s="16" t="str">
        <f>STT!J92</f>
        <v xml:space="preserve"> </v>
      </c>
      <c r="K352" s="18" t="str">
        <f>STT!K92</f>
        <v xml:space="preserve"> </v>
      </c>
      <c r="L352" s="25">
        <f>STT!L92</f>
        <v>309</v>
      </c>
      <c r="M352" s="36" t="str">
        <f>STT!M92</f>
        <v>.15-11</v>
      </c>
      <c r="N352" s="25">
        <f>STT!N92</f>
        <v>537.75</v>
      </c>
      <c r="O352" s="73" t="str">
        <f>STT!O92</f>
        <v>.16-01</v>
      </c>
      <c r="P352" s="25" t="str">
        <f>STT!P92</f>
        <v xml:space="preserve"> </v>
      </c>
      <c r="Q352" s="36" t="str">
        <f>STT!Q92</f>
        <v xml:space="preserve"> </v>
      </c>
      <c r="R352" s="31" t="str">
        <f>STT!R92</f>
        <v xml:space="preserve"> </v>
      </c>
      <c r="S352" s="25" t="str">
        <f>STT!S92</f>
        <v xml:space="preserve"> </v>
      </c>
      <c r="T352" s="36" t="str">
        <f>STT!T92</f>
        <v xml:space="preserve"> </v>
      </c>
      <c r="U352" s="31" t="str">
        <f>STT!U92</f>
        <v xml:space="preserve"> </v>
      </c>
    </row>
    <row r="353" spans="1:21">
      <c r="A353" s="143" t="str">
        <f>CZ.V!A62</f>
        <v>Carl Zeiss</v>
      </c>
      <c r="B353" s="11" t="str">
        <f>CZ.V!B62</f>
        <v>Tele-Apotessar T* 300/2.8 CY</v>
      </c>
      <c r="C353" s="16">
        <f>CZ.V!C62</f>
        <v>300</v>
      </c>
      <c r="D353" s="18">
        <f>CZ.V!D62</f>
        <v>2.8</v>
      </c>
      <c r="E353" s="31">
        <f>CZ.V!E62</f>
        <v>480</v>
      </c>
      <c r="F353" s="16" t="str">
        <f>CZ.V!F62</f>
        <v>CY</v>
      </c>
      <c r="G353" s="58">
        <f>CZ.V!G62</f>
        <v>3.5</v>
      </c>
      <c r="H353" s="53">
        <f>CZ.V!H62</f>
        <v>2.73</v>
      </c>
      <c r="I353" s="16">
        <f>CZ.V!I62</f>
        <v>244</v>
      </c>
      <c r="J353" s="16">
        <f>CZ.V!J62</f>
        <v>120</v>
      </c>
      <c r="K353" s="18">
        <f>CZ.V!K62</f>
        <v>111</v>
      </c>
      <c r="L353" s="25">
        <f>CZ.V!L62</f>
        <v>0</v>
      </c>
      <c r="M353" s="36" t="str">
        <f>CZ.V!M62</f>
        <v xml:space="preserve"> </v>
      </c>
      <c r="N353" s="25">
        <f>CZ.V!N62</f>
        <v>8000</v>
      </c>
      <c r="O353" s="73" t="str">
        <f>CZ.V!O62</f>
        <v>.15-11</v>
      </c>
      <c r="P353" s="25" t="str">
        <f>CZ.V!P62</f>
        <v xml:space="preserve"> </v>
      </c>
      <c r="Q353" s="36" t="str">
        <f>CZ.V!Q62</f>
        <v xml:space="preserve"> </v>
      </c>
      <c r="R353" s="31" t="str">
        <f>CZ.V!R62</f>
        <v xml:space="preserve"> </v>
      </c>
      <c r="S353" s="25">
        <f>CZ.V!S62</f>
        <v>14000</v>
      </c>
      <c r="T353" s="36" t="str">
        <f>CZ.V!T62</f>
        <v>.15-01</v>
      </c>
      <c r="U353" s="31" t="str">
        <f>CZ.V!U62</f>
        <v>kevin</v>
      </c>
    </row>
    <row r="354" spans="1:21">
      <c r="A354" s="143" t="str">
        <f>LNOP!A60</f>
        <v>Nikon</v>
      </c>
      <c r="B354" s="11" t="str">
        <f>LNOP!B60</f>
        <v>Nikkor *ED 300/2.8 IF N</v>
      </c>
      <c r="C354" s="16">
        <f>LNOP!C60</f>
        <v>300</v>
      </c>
      <c r="D354" s="18">
        <f>LNOP!D60</f>
        <v>2.8</v>
      </c>
      <c r="E354" s="31">
        <f>LNOP!E60</f>
        <v>480</v>
      </c>
      <c r="F354" s="16" t="str">
        <f>LNOP!F60</f>
        <v>AIS</v>
      </c>
      <c r="G354" s="58">
        <f>LNOP!G60</f>
        <v>3</v>
      </c>
      <c r="H354" s="53">
        <f>LNOP!H60</f>
        <v>2.5</v>
      </c>
      <c r="I354" s="16">
        <f>LNOP!I60</f>
        <v>241</v>
      </c>
      <c r="J354" s="16">
        <f>LNOP!J60</f>
        <v>138</v>
      </c>
      <c r="K354" s="18" t="str">
        <f>LNOP!K60</f>
        <v>39 di</v>
      </c>
      <c r="L354" s="25">
        <f>LNOP!L60</f>
        <v>847.3</v>
      </c>
      <c r="M354" s="36" t="str">
        <f>LNOP!M60</f>
        <v>.16-05</v>
      </c>
      <c r="N354" s="25">
        <f>LNOP!N60</f>
        <v>1258.8333333333333</v>
      </c>
      <c r="O354" s="73" t="str">
        <f>LNOP!O60</f>
        <v>.16-04</v>
      </c>
      <c r="P354" s="25">
        <f>LNOP!P60</f>
        <v>950</v>
      </c>
      <c r="Q354" s="36" t="str">
        <f>LNOP!Q60</f>
        <v>.13-07</v>
      </c>
      <c r="R354" s="31" t="str">
        <f>LNOP!R60</f>
        <v>b&amp;h</v>
      </c>
      <c r="S354" s="25">
        <f>LNOP!S60</f>
        <v>1375</v>
      </c>
      <c r="T354" s="36" t="str">
        <f>LNOP!T60</f>
        <v>.12-04</v>
      </c>
      <c r="U354" s="31" t="str">
        <f>LNOP!U60</f>
        <v>camW</v>
      </c>
    </row>
    <row r="355" spans="1:21">
      <c r="A355" s="143" t="str">
        <f>LNOP!A140</f>
        <v>Pentax</v>
      </c>
      <c r="B355" s="11" t="str">
        <f>LNOP!B140</f>
        <v>SMC Pentax-A* ED 300/2.8 IF</v>
      </c>
      <c r="C355" s="16">
        <f>LNOP!C140</f>
        <v>300</v>
      </c>
      <c r="D355" s="18">
        <f>LNOP!D140</f>
        <v>2.8</v>
      </c>
      <c r="E355" s="31">
        <f>LNOP!E140</f>
        <v>480</v>
      </c>
      <c r="F355" s="16" t="str">
        <f>LNOP!F140</f>
        <v>KA</v>
      </c>
      <c r="G355" s="58">
        <f>LNOP!G140</f>
        <v>3</v>
      </c>
      <c r="H355" s="53">
        <f>LNOP!H140</f>
        <v>2.97</v>
      </c>
      <c r="I355" s="16">
        <f>LNOP!I140</f>
        <v>236</v>
      </c>
      <c r="J355" s="16">
        <f>LNOP!J140</f>
        <v>133</v>
      </c>
      <c r="K355" s="18">
        <f>LNOP!K140</f>
        <v>49</v>
      </c>
      <c r="L355" s="25">
        <f>LNOP!L140</f>
        <v>1296</v>
      </c>
      <c r="M355" s="36" t="str">
        <f>LNOP!M140</f>
        <v>.16-03</v>
      </c>
      <c r="N355" s="25">
        <f>LNOP!N140</f>
        <v>1875.5714285714287</v>
      </c>
      <c r="O355" s="73" t="str">
        <f>LNOP!O140</f>
        <v>.16-03</v>
      </c>
      <c r="P355" s="25">
        <f>LNOP!P140</f>
        <v>1900</v>
      </c>
      <c r="Q355" s="36" t="str">
        <f>LNOP!Q140</f>
        <v>.10-05</v>
      </c>
      <c r="R355" s="31" t="str">
        <f>LNOP!R140</f>
        <v>ado</v>
      </c>
      <c r="S355" s="25" t="str">
        <f>LNOP!S140</f>
        <v xml:space="preserve"> </v>
      </c>
      <c r="T355" s="36" t="str">
        <f>LNOP!T140</f>
        <v xml:space="preserve"> </v>
      </c>
      <c r="U355" s="31" t="str">
        <f>LNOP!U140</f>
        <v xml:space="preserve"> </v>
      </c>
    </row>
    <row r="356" spans="1:21">
      <c r="A356" s="143" t="str">
        <f>EFp!A53</f>
        <v>Canon</v>
      </c>
      <c r="B356" s="11" t="str">
        <f>EFp!B53</f>
        <v xml:space="preserve">EF 300/4 L USM </v>
      </c>
      <c r="C356" s="16">
        <f>EFp!C53</f>
        <v>300</v>
      </c>
      <c r="D356" s="18">
        <f>EFp!D53</f>
        <v>4</v>
      </c>
      <c r="E356" s="31">
        <f>EFp!E53</f>
        <v>480</v>
      </c>
      <c r="F356" s="16" t="str">
        <f>EFp!F53</f>
        <v>EF</v>
      </c>
      <c r="G356" s="58">
        <f>EFp!G53</f>
        <v>2.5</v>
      </c>
      <c r="H356" s="53">
        <f>EFp!H53</f>
        <v>1.165</v>
      </c>
      <c r="I356" s="16">
        <f>EFp!I53</f>
        <v>213.5</v>
      </c>
      <c r="J356" s="16">
        <f>EFp!J53</f>
        <v>90</v>
      </c>
      <c r="K356" s="18">
        <f>EFp!K53</f>
        <v>77</v>
      </c>
      <c r="L356" s="25">
        <f>EFp!L53</f>
        <v>511.2</v>
      </c>
      <c r="M356" s="36" t="str">
        <f>EFp!M53</f>
        <v>.16-05</v>
      </c>
      <c r="N356" s="25">
        <f>EFp!N53</f>
        <v>657</v>
      </c>
      <c r="O356" s="73" t="str">
        <f>EFp!O53</f>
        <v>.16-03</v>
      </c>
      <c r="P356" s="25">
        <f>EFp!P53</f>
        <v>650</v>
      </c>
      <c r="Q356" s="36" t="str">
        <f>EFp!Q53</f>
        <v>.16-01</v>
      </c>
      <c r="R356" s="31" t="str">
        <f>EFp!R53</f>
        <v>keh</v>
      </c>
      <c r="S356" s="25">
        <f>EFp!S53</f>
        <v>1080</v>
      </c>
      <c r="T356" s="36" t="str">
        <f>EFp!T53</f>
        <v>.11-10</v>
      </c>
      <c r="U356" s="31" t="str">
        <f>EFp!U53</f>
        <v>keh</v>
      </c>
    </row>
    <row r="357" spans="1:21">
      <c r="A357" s="143" t="str">
        <f>EFp!A54</f>
        <v>Canon</v>
      </c>
      <c r="B357" s="11" t="str">
        <f>EFp!B54</f>
        <v>EF 300/4 L IS USM</v>
      </c>
      <c r="C357" s="16">
        <f>EFp!C54</f>
        <v>300</v>
      </c>
      <c r="D357" s="18">
        <f>EFp!D54</f>
        <v>4</v>
      </c>
      <c r="E357" s="31">
        <f>EFp!E54</f>
        <v>480</v>
      </c>
      <c r="F357" s="16" t="str">
        <f>EFp!F54</f>
        <v>EF</v>
      </c>
      <c r="G357" s="58">
        <f>EFp!G54</f>
        <v>1.5</v>
      </c>
      <c r="H357" s="53">
        <f>EFp!H54</f>
        <v>1.19</v>
      </c>
      <c r="I357" s="16">
        <f>EFp!I54</f>
        <v>221</v>
      </c>
      <c r="J357" s="16">
        <f>EFp!J54</f>
        <v>90</v>
      </c>
      <c r="K357" s="18">
        <f>EFp!K54</f>
        <v>77</v>
      </c>
      <c r="L357" s="25">
        <f>EFp!L54</f>
        <v>663</v>
      </c>
      <c r="M357" s="36" t="str">
        <f>EFp!M54</f>
        <v>.16-05</v>
      </c>
      <c r="N357" s="25">
        <f>EFp!N54</f>
        <v>873.75</v>
      </c>
      <c r="O357" s="73" t="str">
        <f>EFp!O54</f>
        <v>.16-05</v>
      </c>
      <c r="P357" s="25">
        <f>EFp!P54</f>
        <v>725</v>
      </c>
      <c r="Q357" s="36" t="str">
        <f>EFp!Q54</f>
        <v>.16-01</v>
      </c>
      <c r="R357" s="31" t="str">
        <f>EFp!R54</f>
        <v>ado</v>
      </c>
      <c r="S357" s="25">
        <f>EFp!S54</f>
        <v>900</v>
      </c>
      <c r="T357" s="36" t="str">
        <f>EFp!T54</f>
        <v>.16-01</v>
      </c>
      <c r="U357" s="31" t="str">
        <f>EFp!U54</f>
        <v>b&amp;h</v>
      </c>
    </row>
    <row r="358" spans="1:21">
      <c r="A358" s="143" t="str">
        <f>STT!A93</f>
        <v>Tokina</v>
      </c>
      <c r="B358" s="11" t="str">
        <f>STT!B93</f>
        <v>AT-X 300/4 AF Pro</v>
      </c>
      <c r="C358" s="16">
        <f>STT!C93</f>
        <v>300</v>
      </c>
      <c r="D358" s="18">
        <f>STT!D93</f>
        <v>4</v>
      </c>
      <c r="E358" s="31">
        <f>STT!E93</f>
        <v>480</v>
      </c>
      <c r="F358" s="16" t="str">
        <f>STT!F93</f>
        <v>EF</v>
      </c>
      <c r="G358" s="58" t="str">
        <f>STT!G93</f>
        <v xml:space="preserve"> </v>
      </c>
      <c r="H358" s="53" t="str">
        <f>STT!H93</f>
        <v xml:space="preserve"> </v>
      </c>
      <c r="I358" s="16" t="str">
        <f>STT!I93</f>
        <v xml:space="preserve"> </v>
      </c>
      <c r="J358" s="16" t="str">
        <f>STT!J93</f>
        <v xml:space="preserve"> </v>
      </c>
      <c r="K358" s="18" t="str">
        <f>STT!K93</f>
        <v xml:space="preserve"> </v>
      </c>
      <c r="L358" s="25">
        <f>STT!L93</f>
        <v>328.625</v>
      </c>
      <c r="M358" s="36" t="str">
        <f>STT!M93</f>
        <v>.16-04</v>
      </c>
      <c r="N358" s="25">
        <f>STT!N93</f>
        <v>430.6</v>
      </c>
      <c r="O358" s="73" t="str">
        <f>STT!O93</f>
        <v>.14-11</v>
      </c>
      <c r="P358" s="25" t="str">
        <f>STT!P93</f>
        <v xml:space="preserve"> </v>
      </c>
      <c r="Q358" s="36" t="str">
        <f>STT!Q93</f>
        <v xml:space="preserve"> </v>
      </c>
      <c r="R358" s="31" t="str">
        <f>STT!R93</f>
        <v xml:space="preserve"> </v>
      </c>
      <c r="S358" s="25" t="str">
        <f>STT!S93</f>
        <v xml:space="preserve"> </v>
      </c>
      <c r="T358" s="36" t="str">
        <f>STT!T93</f>
        <v xml:space="preserve"> </v>
      </c>
      <c r="U358" s="31" t="str">
        <f>STT!U93</f>
        <v xml:space="preserve"> </v>
      </c>
    </row>
    <row r="359" spans="1:21">
      <c r="A359" s="143" t="str">
        <f>CZ.V!A63</f>
        <v>Carl Zeiss</v>
      </c>
      <c r="B359" s="11" t="str">
        <f>CZ.V!B63</f>
        <v>Tele-Tessar T* 300/4 MM CY</v>
      </c>
      <c r="C359" s="16">
        <f>CZ.V!C63</f>
        <v>300</v>
      </c>
      <c r="D359" s="18">
        <f>CZ.V!D63</f>
        <v>4</v>
      </c>
      <c r="E359" s="31">
        <f>CZ.V!E63</f>
        <v>480</v>
      </c>
      <c r="F359" s="16" t="str">
        <f>CZ.V!F63</f>
        <v>CY</v>
      </c>
      <c r="G359" s="58">
        <f>CZ.V!G63</f>
        <v>3.5</v>
      </c>
      <c r="H359" s="53">
        <f>CZ.V!H63</f>
        <v>1.2</v>
      </c>
      <c r="I359" s="16">
        <f>CZ.V!I63</f>
        <v>205</v>
      </c>
      <c r="J359" s="16">
        <f>CZ.V!J63</f>
        <v>88</v>
      </c>
      <c r="K359" s="18">
        <f>CZ.V!K63</f>
        <v>82</v>
      </c>
      <c r="L359" s="25">
        <f>CZ.V!L63</f>
        <v>282.83333333333331</v>
      </c>
      <c r="M359" s="36" t="str">
        <f>CZ.V!M63</f>
        <v>.16-04</v>
      </c>
      <c r="N359" s="25">
        <f>CZ.V!N63</f>
        <v>474.83333333333331</v>
      </c>
      <c r="O359" s="73" t="str">
        <f>CZ.V!O63</f>
        <v>.15-12</v>
      </c>
      <c r="P359" s="25">
        <f>CZ.V!P63</f>
        <v>300.2</v>
      </c>
      <c r="Q359" s="36" t="str">
        <f>CZ.V!Q63</f>
        <v>.16-05</v>
      </c>
      <c r="R359" s="31" t="str">
        <f>CZ.V!R63</f>
        <v>v.v</v>
      </c>
      <c r="S359" s="25" t="str">
        <f>CZ.V!S63</f>
        <v xml:space="preserve"> </v>
      </c>
      <c r="T359" s="36" t="str">
        <f>CZ.V!T63</f>
        <v xml:space="preserve"> </v>
      </c>
      <c r="U359" s="31" t="str">
        <f>CZ.V!U63</f>
        <v xml:space="preserve"> </v>
      </c>
    </row>
    <row r="360" spans="1:21">
      <c r="A360" s="143" t="str">
        <f>CZ.V!A98</f>
        <v>Zeiss Jena</v>
      </c>
      <c r="B360" s="11" t="str">
        <f>CZ.V!B98</f>
        <v>Sonnar MC 300/4 (P6)</v>
      </c>
      <c r="C360" s="16">
        <f>CZ.V!C98</f>
        <v>300</v>
      </c>
      <c r="D360" s="18">
        <f>CZ.V!D98</f>
        <v>4</v>
      </c>
      <c r="E360" s="31">
        <f>CZ.V!E98</f>
        <v>480</v>
      </c>
      <c r="F360" s="16" t="str">
        <f>CZ.V!F98</f>
        <v>M42</v>
      </c>
      <c r="G360" s="58">
        <f>CZ.V!G98</f>
        <v>4</v>
      </c>
      <c r="H360" s="53">
        <f>CZ.V!H98</f>
        <v>0.20699999999999999</v>
      </c>
      <c r="I360" s="16">
        <f>CZ.V!I98</f>
        <v>224</v>
      </c>
      <c r="J360" s="16" t="str">
        <f>CZ.V!J98</f>
        <v xml:space="preserve"> </v>
      </c>
      <c r="K360" s="18">
        <f>CZ.V!K98</f>
        <v>86</v>
      </c>
      <c r="L360" s="25">
        <f>CZ.V!L98</f>
        <v>210.33333333333334</v>
      </c>
      <c r="M360" s="36" t="str">
        <f>CZ.V!M98</f>
        <v>.16-01</v>
      </c>
      <c r="N360" s="25">
        <f>CZ.V!N98</f>
        <v>399</v>
      </c>
      <c r="O360" s="73" t="str">
        <f>CZ.V!O98</f>
        <v>.16-01</v>
      </c>
      <c r="P360" s="25">
        <f>CZ.V!P98</f>
        <v>450</v>
      </c>
      <c r="Q360" s="36" t="str">
        <f>CZ.V!Q98</f>
        <v>.13-04</v>
      </c>
      <c r="R360" s="31" t="str">
        <f>CZ.V!R98</f>
        <v>v.v</v>
      </c>
      <c r="S360" s="25" t="str">
        <f>CZ.V!S98</f>
        <v xml:space="preserve"> </v>
      </c>
      <c r="T360" s="36" t="str">
        <f>CZ.V!T98</f>
        <v xml:space="preserve"> </v>
      </c>
      <c r="U360" s="31" t="str">
        <f>CZ.V!U98</f>
        <v xml:space="preserve"> </v>
      </c>
    </row>
    <row r="361" spans="1:21">
      <c r="A361" s="143" t="str">
        <f>LNOP!A141</f>
        <v>Pentax</v>
      </c>
      <c r="B361" s="11" t="str">
        <f>LNOP!B141</f>
        <v>SMC Pentax-M*, -A* 300/4</v>
      </c>
      <c r="C361" s="16">
        <f>LNOP!C141</f>
        <v>300</v>
      </c>
      <c r="D361" s="18">
        <f>LNOP!D141</f>
        <v>4</v>
      </c>
      <c r="E361" s="31">
        <f>LNOP!E141</f>
        <v>480</v>
      </c>
      <c r="F361" s="16" t="str">
        <f>LNOP!F141</f>
        <v>KA</v>
      </c>
      <c r="G361" s="58">
        <f>LNOP!G141</f>
        <v>4</v>
      </c>
      <c r="H361" s="53">
        <f>LNOP!H141</f>
        <v>0.85</v>
      </c>
      <c r="I361" s="16">
        <f>LNOP!I141</f>
        <v>132</v>
      </c>
      <c r="J361" s="16">
        <f>LNOP!J141</f>
        <v>84</v>
      </c>
      <c r="K361" s="18">
        <f>LNOP!K141</f>
        <v>77</v>
      </c>
      <c r="L361" s="25">
        <f>LNOP!L141</f>
        <v>427.55555555555554</v>
      </c>
      <c r="M361" s="36" t="str">
        <f>LNOP!M141</f>
        <v>.16-05</v>
      </c>
      <c r="N361" s="25">
        <f>LNOP!N141</f>
        <v>615</v>
      </c>
      <c r="O361" s="73" t="str">
        <f>LNOP!O141</f>
        <v>.16-05</v>
      </c>
      <c r="P361" s="25">
        <f>LNOP!P141</f>
        <v>572</v>
      </c>
      <c r="Q361" s="36" t="str">
        <f>LNOP!Q141</f>
        <v>.14-08</v>
      </c>
      <c r="R361" s="31" t="str">
        <f>LNOP!R141</f>
        <v>keh</v>
      </c>
      <c r="S361" s="25" t="str">
        <f>LNOP!S141</f>
        <v xml:space="preserve"> </v>
      </c>
      <c r="T361" s="36" t="str">
        <f>LNOP!T141</f>
        <v xml:space="preserve"> </v>
      </c>
      <c r="U361" s="31" t="str">
        <f>LNOP!U141</f>
        <v xml:space="preserve"> </v>
      </c>
    </row>
    <row r="362" spans="1:21">
      <c r="A362" s="143" t="str">
        <f>STT!A62</f>
        <v>Tamron</v>
      </c>
      <c r="B362" s="11" t="str">
        <f>STT!B62</f>
        <v>SP 300/5.6 (54B)</v>
      </c>
      <c r="C362" s="16">
        <f>STT!C62</f>
        <v>300</v>
      </c>
      <c r="D362" s="18">
        <f>STT!D62</f>
        <v>5.6</v>
      </c>
      <c r="E362" s="31">
        <f>STT!E62</f>
        <v>480</v>
      </c>
      <c r="F362" s="16" t="str">
        <f>STT!F62</f>
        <v>A2</v>
      </c>
      <c r="G362" s="58">
        <f>STT!G62</f>
        <v>1.4</v>
      </c>
      <c r="H362" s="53">
        <f>STT!H62</f>
        <v>0.65</v>
      </c>
      <c r="I362" s="16">
        <f>STT!I62</f>
        <v>170</v>
      </c>
      <c r="J362" s="16">
        <f>STT!J62</f>
        <v>65</v>
      </c>
      <c r="K362" s="18">
        <f>STT!K62</f>
        <v>58</v>
      </c>
      <c r="L362" s="25">
        <f>STT!L62</f>
        <v>117.75</v>
      </c>
      <c r="M362" s="36" t="str">
        <f>STT!M62</f>
        <v>.15-07</v>
      </c>
      <c r="N362" s="25">
        <f>STT!N62</f>
        <v>224</v>
      </c>
      <c r="O362" s="73" t="str">
        <f>STT!O62</f>
        <v>.13-02</v>
      </c>
      <c r="P362" s="25">
        <f>STT!P62</f>
        <v>145</v>
      </c>
      <c r="Q362" s="36" t="str">
        <f>STT!Q62</f>
        <v>.14-08</v>
      </c>
      <c r="R362" s="31" t="str">
        <f>STT!R62</f>
        <v>v.v</v>
      </c>
      <c r="S362" s="25" t="str">
        <f>STT!S62</f>
        <v xml:space="preserve"> </v>
      </c>
      <c r="T362" s="36" t="str">
        <f>STT!T62</f>
        <v xml:space="preserve"> </v>
      </c>
      <c r="U362" s="31" t="str">
        <f>STT!U62</f>
        <v xml:space="preserve"> </v>
      </c>
    </row>
    <row r="363" spans="1:21">
      <c r="A363" s="143" t="str">
        <f>'645'!A20</f>
        <v>Mamiya</v>
      </c>
      <c r="B363" s="11" t="str">
        <f>'645'!B20</f>
        <v>Mamiya-Sekor C 300/5.6 N</v>
      </c>
      <c r="C363" s="16">
        <f>'645'!C20</f>
        <v>300</v>
      </c>
      <c r="D363" s="18">
        <f>'645'!D20</f>
        <v>5.6</v>
      </c>
      <c r="E363" s="31">
        <f>'645'!E20</f>
        <v>480</v>
      </c>
      <c r="F363" s="16" t="str">
        <f>'645'!F20</f>
        <v>M645</v>
      </c>
      <c r="G363" s="58">
        <f>'645'!G20</f>
        <v>4</v>
      </c>
      <c r="H363" s="53">
        <f>'645'!H20</f>
        <v>0.7</v>
      </c>
      <c r="I363" s="16">
        <f>'645'!I20</f>
        <v>164</v>
      </c>
      <c r="J363" s="16">
        <f>'645'!J20</f>
        <v>71</v>
      </c>
      <c r="K363" s="18">
        <f>'645'!K20</f>
        <v>58</v>
      </c>
      <c r="L363" s="25">
        <f>'645'!L20</f>
        <v>128.625</v>
      </c>
      <c r="M363" s="36" t="str">
        <f>'645'!M20</f>
        <v>.16-05</v>
      </c>
      <c r="N363" s="25">
        <f>'645'!N20</f>
        <v>175</v>
      </c>
      <c r="O363" s="73" t="str">
        <f>'645'!O20</f>
        <v>.16-01</v>
      </c>
      <c r="P363" s="25">
        <f>'645'!P20</f>
        <v>350</v>
      </c>
      <c r="Q363" s="36" t="str">
        <f>'645'!Q20</f>
        <v>.16-01</v>
      </c>
      <c r="R363" s="31" t="str">
        <f>'645'!R20</f>
        <v>b&amp;h</v>
      </c>
      <c r="S363" s="25">
        <f>'645'!S20</f>
        <v>400</v>
      </c>
      <c r="T363" s="36" t="str">
        <f>'645'!T20</f>
        <v>.13-07</v>
      </c>
      <c r="U363" s="31" t="str">
        <f>'645'!U20</f>
        <v>b&amp;h</v>
      </c>
    </row>
    <row r="364" spans="1:21">
      <c r="A364" s="144" t="str">
        <f>'645'!A26</f>
        <v>Mamiya</v>
      </c>
      <c r="B364" s="22" t="str">
        <f>'645'!B26</f>
        <v>Mamiya A 300/2.8 APO</v>
      </c>
      <c r="C364" s="27">
        <f>'645'!C26</f>
        <v>300</v>
      </c>
      <c r="D364" s="41" t="str">
        <f>'645'!D26</f>
        <v>2.8</v>
      </c>
      <c r="E364" s="33">
        <f>'645'!E26</f>
        <v>480</v>
      </c>
      <c r="F364" s="27" t="str">
        <f>'645'!F26</f>
        <v>M645</v>
      </c>
      <c r="G364" s="55">
        <f>'645'!G26</f>
        <v>3.5</v>
      </c>
      <c r="H364" s="56">
        <f>'645'!H26</f>
        <v>2.7</v>
      </c>
      <c r="I364" s="27">
        <f>'645'!I26</f>
        <v>237</v>
      </c>
      <c r="J364" s="27">
        <f>'645'!J26</f>
        <v>140</v>
      </c>
      <c r="K364" s="41" t="str">
        <f>'645'!K26</f>
        <v>43.5di</v>
      </c>
      <c r="L364" s="26">
        <f>'645'!L26</f>
        <v>1806.2857142857142</v>
      </c>
      <c r="M364" s="24" t="str">
        <f>'645'!M26</f>
        <v>.14-07</v>
      </c>
      <c r="N364" s="26">
        <f>'645'!N26</f>
        <v>3149.3333333333335</v>
      </c>
      <c r="O364" s="124" t="str">
        <f>'645'!O26</f>
        <v>.16-02</v>
      </c>
      <c r="P364" s="26">
        <f>'645'!P26</f>
        <v>1995</v>
      </c>
      <c r="Q364" s="24" t="str">
        <f>'645'!Q26</f>
        <v>.10-05</v>
      </c>
      <c r="R364" s="33" t="str">
        <f>'645'!R26</f>
        <v>igor</v>
      </c>
      <c r="S364" s="26">
        <f>'645'!S26</f>
        <v>2200</v>
      </c>
      <c r="T364" s="24" t="str">
        <f>'645'!T26</f>
        <v>.10-06</v>
      </c>
      <c r="U364" s="33" t="str">
        <f>'645'!U26</f>
        <v>ffordes</v>
      </c>
    </row>
    <row r="365" spans="1:21">
      <c r="A365" s="143" t="str">
        <f>LNOP!A92</f>
        <v>Olympus</v>
      </c>
      <c r="B365" s="11" t="str">
        <f>LNOP!B92</f>
        <v>Zuiko 350/2.8 Auto-T</v>
      </c>
      <c r="C365" s="16">
        <f>LNOP!C92</f>
        <v>350</v>
      </c>
      <c r="D365" s="18">
        <f>LNOP!D92</f>
        <v>2.8</v>
      </c>
      <c r="E365" s="31">
        <f>LNOP!E92</f>
        <v>560</v>
      </c>
      <c r="F365" s="16" t="str">
        <f>LNOP!F92</f>
        <v>OM</v>
      </c>
      <c r="G365" s="58">
        <f>LNOP!G92</f>
        <v>3</v>
      </c>
      <c r="H365" s="53">
        <f>LNOP!H92</f>
        <v>3.9</v>
      </c>
      <c r="I365" s="16">
        <f>LNOP!I92</f>
        <v>280</v>
      </c>
      <c r="J365" s="16">
        <f>LNOP!J92</f>
        <v>142</v>
      </c>
      <c r="K365" s="18" t="str">
        <f>LNOP!K92</f>
        <v>46di</v>
      </c>
      <c r="L365" s="25">
        <f>LNOP!L92</f>
        <v>1925</v>
      </c>
      <c r="M365" s="36" t="str">
        <f>LNOP!M92</f>
        <v>.16-01</v>
      </c>
      <c r="N365" s="25">
        <f>LNOP!N92</f>
        <v>3050</v>
      </c>
      <c r="O365" s="73" t="str">
        <f>LNOP!O92</f>
        <v>.16-04</v>
      </c>
      <c r="P365" s="25">
        <f>LNOP!P92</f>
        <v>2000</v>
      </c>
      <c r="Q365" s="36" t="str">
        <f>LNOP!Q92</f>
        <v>.16-01</v>
      </c>
      <c r="R365" s="31" t="str">
        <f>LNOP!R92</f>
        <v>b&amp;h</v>
      </c>
      <c r="S365" s="25">
        <f>LNOP!S92</f>
        <v>6000</v>
      </c>
      <c r="T365" s="36" t="str">
        <f>LNOP!T92</f>
        <v>.15-04</v>
      </c>
      <c r="U365" s="31" t="str">
        <f>LNOP!U92</f>
        <v>kevin</v>
      </c>
    </row>
    <row r="366" spans="1:21">
      <c r="A366" s="144" t="str">
        <f>STT!A63</f>
        <v>Tamron</v>
      </c>
      <c r="B366" s="22" t="str">
        <f>STT!B63</f>
        <v>SP 350/5.6 Cat</v>
      </c>
      <c r="C366" s="27">
        <f>STT!C63</f>
        <v>350</v>
      </c>
      <c r="D366" s="41">
        <f>STT!D63</f>
        <v>5.6</v>
      </c>
      <c r="E366" s="33">
        <f>STT!E63</f>
        <v>560</v>
      </c>
      <c r="F366" s="27" t="str">
        <f>STT!F63</f>
        <v>A2</v>
      </c>
      <c r="G366" s="55">
        <f>STT!G63</f>
        <v>1.1000000000000001</v>
      </c>
      <c r="H366" s="56">
        <f>STT!H63</f>
        <v>0.62</v>
      </c>
      <c r="I366" s="27">
        <f>STT!I63</f>
        <v>74.5</v>
      </c>
      <c r="J366" s="27">
        <f>STT!J63</f>
        <v>86</v>
      </c>
      <c r="K366" s="41">
        <f>STT!K63</f>
        <v>82</v>
      </c>
      <c r="L366" s="26">
        <f>STT!L63</f>
        <v>453.58333333333331</v>
      </c>
      <c r="M366" s="24" t="str">
        <f>STT!M63</f>
        <v>.15-07</v>
      </c>
      <c r="N366" s="26">
        <f>STT!N63</f>
        <v>618.55555555555554</v>
      </c>
      <c r="O366" s="124" t="str">
        <f>STT!O63</f>
        <v>.16-03</v>
      </c>
      <c r="P366" s="26">
        <f>STT!P63</f>
        <v>430</v>
      </c>
      <c r="Q366" s="24" t="str">
        <f>STT!Q63</f>
        <v>.14-03</v>
      </c>
      <c r="R366" s="33" t="str">
        <f>STT!R63</f>
        <v>keh</v>
      </c>
      <c r="S366" s="26" t="str">
        <f>STT!S63</f>
        <v xml:space="preserve"> </v>
      </c>
      <c r="T366" s="24" t="str">
        <f>STT!T63</f>
        <v xml:space="preserve"> </v>
      </c>
      <c r="U366" s="33" t="str">
        <f>STT!U63</f>
        <v xml:space="preserve"> </v>
      </c>
    </row>
    <row r="367" spans="1:21">
      <c r="A367" s="143" t="str">
        <f>EFp!A55</f>
        <v>Canon</v>
      </c>
      <c r="B367" s="11" t="str">
        <f>EFp!B55</f>
        <v xml:space="preserve">EF 400/2.8 L USM </v>
      </c>
      <c r="C367" s="16">
        <f>EFp!C55</f>
        <v>400</v>
      </c>
      <c r="D367" s="18">
        <f>EFp!D55</f>
        <v>2.8</v>
      </c>
      <c r="E367" s="31">
        <f>EFp!E55</f>
        <v>640</v>
      </c>
      <c r="F367" s="16" t="str">
        <f>EFp!F55</f>
        <v>EF</v>
      </c>
      <c r="G367" s="58">
        <f>EFp!G55</f>
        <v>4</v>
      </c>
      <c r="H367" s="53">
        <f>EFp!H55</f>
        <v>6.1</v>
      </c>
      <c r="I367" s="16">
        <f>EFp!I55</f>
        <v>348</v>
      </c>
      <c r="J367" s="16">
        <f>EFp!J55</f>
        <v>167</v>
      </c>
      <c r="K367" s="18" t="str">
        <f>EFp!K55</f>
        <v>48 di</v>
      </c>
      <c r="L367" s="25">
        <f>EFp!L55</f>
        <v>2062.75</v>
      </c>
      <c r="M367" s="36" t="str">
        <f>EFp!M55</f>
        <v>.16-05</v>
      </c>
      <c r="N367" s="25">
        <f>EFp!N55</f>
        <v>3150</v>
      </c>
      <c r="O367" s="73" t="str">
        <f>EFp!O55</f>
        <v>.16-04</v>
      </c>
      <c r="P367" s="25">
        <f>EFp!P55</f>
        <v>3520</v>
      </c>
      <c r="Q367" s="36" t="str">
        <f>EFp!Q55</f>
        <v>.14-01</v>
      </c>
      <c r="R367" s="31" t="str">
        <f>EFp!R55</f>
        <v>keh</v>
      </c>
      <c r="S367" s="25" t="str">
        <f>EFp!S55</f>
        <v xml:space="preserve"> </v>
      </c>
      <c r="T367" s="36" t="str">
        <f>EFp!T55</f>
        <v xml:space="preserve"> </v>
      </c>
      <c r="U367" s="31" t="str">
        <f>EFp!U55</f>
        <v xml:space="preserve"> </v>
      </c>
    </row>
    <row r="368" spans="1:21">
      <c r="A368" s="143" t="str">
        <f>EFp!A56</f>
        <v>Canon</v>
      </c>
      <c r="B368" s="11" t="str">
        <f>EFp!B56</f>
        <v>EF 400/2.8 L II USM</v>
      </c>
      <c r="C368" s="16">
        <f>EFp!C56</f>
        <v>400</v>
      </c>
      <c r="D368" s="18">
        <f>EFp!D56</f>
        <v>2.8</v>
      </c>
      <c r="E368" s="31">
        <f>EFp!E56</f>
        <v>640</v>
      </c>
      <c r="F368" s="16" t="str">
        <f>EFp!F56</f>
        <v>EF</v>
      </c>
      <c r="G368" s="58">
        <f>EFp!G56</f>
        <v>4</v>
      </c>
      <c r="H368" s="53">
        <f>EFp!H56</f>
        <v>5.91</v>
      </c>
      <c r="I368" s="16">
        <f>EFp!I56</f>
        <v>348</v>
      </c>
      <c r="J368" s="16">
        <f>EFp!J56</f>
        <v>167</v>
      </c>
      <c r="K368" s="18" t="str">
        <f>EFp!K56</f>
        <v>48 di</v>
      </c>
      <c r="L368" s="25">
        <f>EFp!L56</f>
        <v>2437.5</v>
      </c>
      <c r="M368" s="36" t="str">
        <f>EFp!M56</f>
        <v>.16-01</v>
      </c>
      <c r="N368" s="25">
        <f>EFp!N56</f>
        <v>3624.5</v>
      </c>
      <c r="O368" s="73" t="str">
        <f>EFp!O56</f>
        <v>.16-01</v>
      </c>
      <c r="P368" s="25">
        <f>EFp!P56</f>
        <v>3800</v>
      </c>
      <c r="Q368" s="36" t="str">
        <f>EFp!Q56</f>
        <v>.14-08</v>
      </c>
      <c r="R368" s="31" t="str">
        <f>EFp!R56</f>
        <v>ado</v>
      </c>
      <c r="S368" s="25">
        <f>EFp!S56</f>
        <v>4995</v>
      </c>
      <c r="T368" s="36" t="str">
        <f>EFp!T56</f>
        <v>.15-11</v>
      </c>
      <c r="U368" s="31" t="str">
        <f>EFp!U56</f>
        <v>igor</v>
      </c>
    </row>
    <row r="369" spans="1:21">
      <c r="A369" s="143" t="str">
        <f>EFp!A57</f>
        <v>Canon</v>
      </c>
      <c r="B369" s="11" t="str">
        <f>EFp!B57</f>
        <v xml:space="preserve">EF 400/2.8 L IS USM </v>
      </c>
      <c r="C369" s="16">
        <f>EFp!C57</f>
        <v>400</v>
      </c>
      <c r="D369" s="18">
        <f>EFp!D57</f>
        <v>2.8</v>
      </c>
      <c r="E369" s="31">
        <f>EFp!E57</f>
        <v>640</v>
      </c>
      <c r="F369" s="16" t="str">
        <f>EFp!F57</f>
        <v>EF</v>
      </c>
      <c r="G369" s="58">
        <f>EFp!G57</f>
        <v>3</v>
      </c>
      <c r="H369" s="53">
        <f>EFp!H57</f>
        <v>5.37</v>
      </c>
      <c r="I369" s="16">
        <f>EFp!I57</f>
        <v>349</v>
      </c>
      <c r="J369" s="16">
        <f>EFp!J57</f>
        <v>163</v>
      </c>
      <c r="K369" s="18" t="str">
        <f>EFp!K57</f>
        <v>52 di</v>
      </c>
      <c r="L369" s="25">
        <f>EFp!L57</f>
        <v>4091.6</v>
      </c>
      <c r="M369" s="36" t="str">
        <f>EFp!M57</f>
        <v>.16-04</v>
      </c>
      <c r="N369" s="25">
        <f>EFp!N57</f>
        <v>5169.8571428571431</v>
      </c>
      <c r="O369" s="73" t="str">
        <f>EFp!O57</f>
        <v>.16-04</v>
      </c>
      <c r="P369" s="25">
        <f>EFp!P57</f>
        <v>4700</v>
      </c>
      <c r="Q369" s="36" t="str">
        <f>EFp!Q57</f>
        <v>.15-08</v>
      </c>
      <c r="R369" s="31" t="str">
        <f>EFp!R57</f>
        <v>igor</v>
      </c>
      <c r="S369" s="25">
        <f>EFp!S57</f>
        <v>4895</v>
      </c>
      <c r="T369" s="36" t="str">
        <f>EFp!T57</f>
        <v>.16-01</v>
      </c>
      <c r="U369" s="31" t="str">
        <f>EFp!U57</f>
        <v>igor</v>
      </c>
    </row>
    <row r="370" spans="1:21">
      <c r="A370" s="143" t="str">
        <f>EFp!A58</f>
        <v>Canon</v>
      </c>
      <c r="B370" s="11" t="str">
        <f>EFp!B58</f>
        <v xml:space="preserve">EF 400/2.8 L IS II USM </v>
      </c>
      <c r="C370" s="16">
        <f>EFp!C58</f>
        <v>400</v>
      </c>
      <c r="D370" s="18">
        <f>EFp!D58</f>
        <v>2.8</v>
      </c>
      <c r="E370" s="31">
        <f>EFp!E58</f>
        <v>640</v>
      </c>
      <c r="F370" s="16" t="str">
        <f>EFp!F58</f>
        <v>EF</v>
      </c>
      <c r="G370" s="58">
        <f>EFp!G58</f>
        <v>2.7</v>
      </c>
      <c r="H370" s="53">
        <f>EFp!H58</f>
        <v>3.85</v>
      </c>
      <c r="I370" s="16">
        <f>EFp!I58</f>
        <v>343</v>
      </c>
      <c r="J370" s="16">
        <f>EFp!J58</f>
        <v>163</v>
      </c>
      <c r="K370" s="18" t="str">
        <f>EFp!K58</f>
        <v>52 di</v>
      </c>
      <c r="L370" s="25">
        <f>EFp!L58</f>
        <v>6860</v>
      </c>
      <c r="M370" s="36" t="str">
        <f>EFp!M58</f>
        <v>.16-05</v>
      </c>
      <c r="N370" s="25">
        <f>EFp!N58</f>
        <v>8110.2</v>
      </c>
      <c r="O370" s="73" t="str">
        <f>EFp!O58</f>
        <v>.16-05</v>
      </c>
      <c r="P370" s="25">
        <f>EFp!P58</f>
        <v>8120</v>
      </c>
      <c r="Q370" s="36" t="str">
        <f>EFp!Q58</f>
        <v>.16-01</v>
      </c>
      <c r="R370" s="31" t="str">
        <f>EFp!R58</f>
        <v>LA</v>
      </c>
      <c r="S370" s="25">
        <f>EFp!S58</f>
        <v>8815</v>
      </c>
      <c r="T370" s="36" t="str">
        <f>EFp!T58</f>
        <v>.15-04</v>
      </c>
      <c r="U370" s="31" t="str">
        <f>EFp!U58</f>
        <v>LA</v>
      </c>
    </row>
    <row r="371" spans="1:21">
      <c r="A371" s="143" t="str">
        <f>LNOP!A61</f>
        <v>Nikon</v>
      </c>
      <c r="B371" s="11" t="str">
        <f>LNOP!B61</f>
        <v>Nikkor *ED 400/2.8 IF MF</v>
      </c>
      <c r="C371" s="16">
        <f>LNOP!C61</f>
        <v>400</v>
      </c>
      <c r="D371" s="18">
        <f>LNOP!D61</f>
        <v>2.8</v>
      </c>
      <c r="E371" s="31">
        <f>LNOP!E61</f>
        <v>640</v>
      </c>
      <c r="F371" s="16" t="str">
        <f>LNOP!F61</f>
        <v>AIS</v>
      </c>
      <c r="G371" s="58">
        <f>LNOP!G61</f>
        <v>4.5999999999999996</v>
      </c>
      <c r="H371" s="53">
        <f>LNOP!H61</f>
        <v>5.15</v>
      </c>
      <c r="I371" s="16">
        <f>LNOP!I61</f>
        <v>378.5</v>
      </c>
      <c r="J371" s="16">
        <f>LNOP!J61</f>
        <v>163</v>
      </c>
      <c r="K371" s="18" t="str">
        <f>LNOP!K61</f>
        <v>52 di</v>
      </c>
      <c r="L371" s="25">
        <f>LNOP!L61</f>
        <v>1670.8</v>
      </c>
      <c r="M371" s="36" t="str">
        <f>LNOP!M61</f>
        <v>.16-05</v>
      </c>
      <c r="N371" s="25">
        <f>LNOP!N61</f>
        <v>2466</v>
      </c>
      <c r="O371" s="73" t="str">
        <f>LNOP!O61</f>
        <v>.15-12</v>
      </c>
      <c r="P371" s="25">
        <f>LNOP!P61</f>
        <v>3100</v>
      </c>
      <c r="Q371" s="36" t="str">
        <f>LNOP!Q61</f>
        <v>.15-04</v>
      </c>
      <c r="R371" s="31" t="str">
        <f>LNOP!R61</f>
        <v>b&amp;h</v>
      </c>
      <c r="S371" s="25" t="str">
        <f>LNOP!S61</f>
        <v xml:space="preserve"> </v>
      </c>
      <c r="T371" s="36" t="str">
        <f>LNOP!T61</f>
        <v xml:space="preserve"> </v>
      </c>
      <c r="U371" s="31" t="str">
        <f>LNOP!U61</f>
        <v xml:space="preserve"> </v>
      </c>
    </row>
    <row r="372" spans="1:21">
      <c r="A372" s="143" t="str">
        <f>LNOP!A142</f>
        <v>Pentax</v>
      </c>
      <c r="B372" s="11" t="str">
        <f>LNOP!B142</f>
        <v>SMC Pentax-A* ED 400/2.8 IF</v>
      </c>
      <c r="C372" s="16">
        <f>LNOP!C142</f>
        <v>400</v>
      </c>
      <c r="D372" s="18">
        <f>LNOP!D142</f>
        <v>2.8</v>
      </c>
      <c r="E372" s="31">
        <f>LNOP!E142</f>
        <v>640</v>
      </c>
      <c r="F372" s="16" t="str">
        <f>LNOP!F142</f>
        <v>KA</v>
      </c>
      <c r="G372" s="58">
        <f>LNOP!G142</f>
        <v>4.5</v>
      </c>
      <c r="H372" s="53">
        <f>LNOP!H142</f>
        <v>6</v>
      </c>
      <c r="I372" s="16">
        <f>LNOP!I142</f>
        <v>325</v>
      </c>
      <c r="J372" s="16">
        <f>LNOP!J142</f>
        <v>165</v>
      </c>
      <c r="K372" s="18">
        <f>LNOP!K142</f>
        <v>49</v>
      </c>
      <c r="L372" s="25">
        <f>LNOP!L142</f>
        <v>2301</v>
      </c>
      <c r="M372" s="36" t="str">
        <f>LNOP!M142</f>
        <v>.15-12</v>
      </c>
      <c r="N372" s="25" t="str">
        <f>LNOP!N142</f>
        <v xml:space="preserve"> </v>
      </c>
      <c r="O372" s="73" t="str">
        <f>LNOP!O142</f>
        <v xml:space="preserve"> </v>
      </c>
      <c r="P372" s="25">
        <f>LNOP!P142</f>
        <v>2900</v>
      </c>
      <c r="Q372" s="36" t="str">
        <f>LNOP!Q142</f>
        <v>.15-04</v>
      </c>
      <c r="R372" s="31" t="str">
        <f>LNOP!R142</f>
        <v>keh</v>
      </c>
      <c r="S372" s="25">
        <f>LNOP!S142</f>
        <v>3900</v>
      </c>
      <c r="T372" s="36" t="str">
        <f>LNOP!T142</f>
        <v>.09-10</v>
      </c>
      <c r="U372" s="31" t="str">
        <f>LNOP!U142</f>
        <v>b&amp;h</v>
      </c>
    </row>
    <row r="373" spans="1:21">
      <c r="A373" s="143" t="str">
        <f>LNOP!A62</f>
        <v>Nikon</v>
      </c>
      <c r="B373" s="11" t="str">
        <f>LNOP!B62</f>
        <v>Nikkor *ED 400/3.5 IF MF</v>
      </c>
      <c r="C373" s="16">
        <f>LNOP!C62</f>
        <v>400</v>
      </c>
      <c r="D373" s="18">
        <f>LNOP!D62</f>
        <v>3.5</v>
      </c>
      <c r="E373" s="31">
        <f>LNOP!E62</f>
        <v>640</v>
      </c>
      <c r="F373" s="16" t="str">
        <f>LNOP!F62</f>
        <v>AIS</v>
      </c>
      <c r="G373" s="58">
        <f>LNOP!G62</f>
        <v>4.5999999999999996</v>
      </c>
      <c r="H373" s="53">
        <f>LNOP!H62</f>
        <v>2.8</v>
      </c>
      <c r="I373" s="16">
        <f>LNOP!I62</f>
        <v>297.2</v>
      </c>
      <c r="J373" s="16">
        <f>LNOP!J62</f>
        <v>134.6</v>
      </c>
      <c r="K373" s="18" t="str">
        <f>LNOP!K62</f>
        <v xml:space="preserve">122-39 </v>
      </c>
      <c r="L373" s="25">
        <f>LNOP!L62</f>
        <v>1129.6363636363637</v>
      </c>
      <c r="M373" s="36" t="str">
        <f>LNOP!M62</f>
        <v>.16-05</v>
      </c>
      <c r="N373" s="25">
        <f>LNOP!N62</f>
        <v>1536.2222222222222</v>
      </c>
      <c r="O373" s="73" t="str">
        <f>LNOP!O62</f>
        <v>.16-03</v>
      </c>
      <c r="P373" s="25">
        <f>LNOP!P62</f>
        <v>1000</v>
      </c>
      <c r="Q373" s="36" t="str">
        <f>LNOP!Q62</f>
        <v>.16-01</v>
      </c>
      <c r="R373" s="31" t="str">
        <f>LNOP!R62</f>
        <v>b&amp;h</v>
      </c>
      <c r="S373" s="25" t="str">
        <f>LNOP!S62</f>
        <v xml:space="preserve"> </v>
      </c>
      <c r="T373" s="36" t="str">
        <f>LNOP!T62</f>
        <v xml:space="preserve"> </v>
      </c>
      <c r="U373" s="31" t="str">
        <f>LNOP!U62</f>
        <v xml:space="preserve"> </v>
      </c>
    </row>
    <row r="374" spans="1:21">
      <c r="A374" s="143" t="str">
        <f>EFp!A59</f>
        <v>Canon</v>
      </c>
      <c r="B374" s="11" t="str">
        <f>EFp!B59</f>
        <v xml:space="preserve">EF 400/4 DO IS USM </v>
      </c>
      <c r="C374" s="16">
        <f>EFp!C59</f>
        <v>400</v>
      </c>
      <c r="D374" s="18">
        <f>EFp!D59</f>
        <v>4</v>
      </c>
      <c r="E374" s="31">
        <f>EFp!E59</f>
        <v>640</v>
      </c>
      <c r="F374" s="16" t="str">
        <f>EFp!F59</f>
        <v>EF</v>
      </c>
      <c r="G374" s="58">
        <f>EFp!G59</f>
        <v>3.5</v>
      </c>
      <c r="H374" s="53">
        <f>EFp!H59</f>
        <v>1.94</v>
      </c>
      <c r="I374" s="16">
        <f>EFp!I59</f>
        <v>232.7</v>
      </c>
      <c r="J374" s="16">
        <f>EFp!J59</f>
        <v>128</v>
      </c>
      <c r="K374" s="18" t="str">
        <f>EFp!K59</f>
        <v>52 di</v>
      </c>
      <c r="L374" s="25">
        <f>EFp!L59</f>
        <v>2442.5555555555557</v>
      </c>
      <c r="M374" s="36" t="str">
        <f>EFp!M59</f>
        <v>.16-05</v>
      </c>
      <c r="N374" s="25">
        <f>EFp!N59</f>
        <v>2792.6666666666665</v>
      </c>
      <c r="O374" s="73" t="str">
        <f>EFp!O59</f>
        <v>.16-05</v>
      </c>
      <c r="P374" s="25">
        <f>EFp!P59</f>
        <v>1995</v>
      </c>
      <c r="Q374" s="36" t="str">
        <f>EFp!Q59</f>
        <v>.16-01</v>
      </c>
      <c r="R374" s="31" t="str">
        <f>EFp!R59</f>
        <v>igor</v>
      </c>
      <c r="S374" s="25">
        <f>EFp!S59</f>
        <v>5250</v>
      </c>
      <c r="T374" s="36" t="str">
        <f>EFp!T59</f>
        <v>.15-04</v>
      </c>
      <c r="U374" s="31" t="str">
        <f>EFp!U59</f>
        <v>LA</v>
      </c>
    </row>
    <row r="375" spans="1:21">
      <c r="A375" s="143" t="str">
        <f>EFp!A60</f>
        <v>Canon</v>
      </c>
      <c r="B375" s="11" t="str">
        <f>EFp!B60</f>
        <v xml:space="preserve">EF 400/4 DO IS II USM </v>
      </c>
      <c r="C375" s="16">
        <f>EFp!C60</f>
        <v>400</v>
      </c>
      <c r="D375" s="18">
        <f>EFp!D60</f>
        <v>4</v>
      </c>
      <c r="E375" s="31">
        <f>EFp!E60</f>
        <v>640</v>
      </c>
      <c r="F375" s="16" t="str">
        <f>EFp!F60</f>
        <v>EF</v>
      </c>
      <c r="G375" s="58">
        <f>EFp!G60</f>
        <v>3.3</v>
      </c>
      <c r="H375" s="53">
        <f>EFp!H60</f>
        <v>2.1</v>
      </c>
      <c r="I375" s="16">
        <f>EFp!I60</f>
        <v>232.7</v>
      </c>
      <c r="J375" s="16">
        <f>EFp!J60</f>
        <v>128</v>
      </c>
      <c r="K375" s="18" t="str">
        <f>EFp!K60</f>
        <v>52 di</v>
      </c>
      <c r="L375" s="25">
        <f>EFp!L60</f>
        <v>0</v>
      </c>
      <c r="M375" s="36" t="str">
        <f>EFp!M60</f>
        <v xml:space="preserve"> </v>
      </c>
      <c r="N375" s="25">
        <f>EFp!N60</f>
        <v>6900</v>
      </c>
      <c r="O375" s="73" t="str">
        <f>EFp!O60</f>
        <v>.15-03</v>
      </c>
      <c r="P375" s="25" t="str">
        <f>EFp!P60</f>
        <v xml:space="preserve"> </v>
      </c>
      <c r="Q375" s="36" t="str">
        <f>EFp!Q60</f>
        <v xml:space="preserve"> </v>
      </c>
      <c r="R375" s="31" t="str">
        <f>EFp!R60</f>
        <v xml:space="preserve"> </v>
      </c>
      <c r="S375" s="25">
        <f>EFp!S60</f>
        <v>6900</v>
      </c>
      <c r="T375" s="36" t="str">
        <f>EFp!T60</f>
        <v>.15-04</v>
      </c>
      <c r="U375" s="31" t="str">
        <f>EFp!U60</f>
        <v>b&amp;h</v>
      </c>
    </row>
    <row r="376" spans="1:21">
      <c r="A376" s="143" t="str">
        <f>STT!A64</f>
        <v>Tamron</v>
      </c>
      <c r="B376" s="11" t="str">
        <f>STT!B64</f>
        <v>SP 400mm f/4 LD (IF) MF</v>
      </c>
      <c r="C376" s="16">
        <f>STT!C64</f>
        <v>400</v>
      </c>
      <c r="D376" s="18">
        <f>STT!D64</f>
        <v>4</v>
      </c>
      <c r="E376" s="31">
        <f>STT!E64</f>
        <v>640</v>
      </c>
      <c r="F376" s="16" t="str">
        <f>STT!F64</f>
        <v>A2</v>
      </c>
      <c r="G376" s="58">
        <f>STT!G64</f>
        <v>3</v>
      </c>
      <c r="H376" s="53">
        <f>STT!H64</f>
        <v>2.2999999999999998</v>
      </c>
      <c r="I376" s="16">
        <f>STT!I64</f>
        <v>293</v>
      </c>
      <c r="J376" s="16">
        <f>STT!J64</f>
        <v>118</v>
      </c>
      <c r="K376" s="18" t="str">
        <f>STT!K64</f>
        <v>43di</v>
      </c>
      <c r="L376" s="25">
        <f>STT!L64</f>
        <v>768.77777777777783</v>
      </c>
      <c r="M376" s="36" t="str">
        <f>STT!M64</f>
        <v>.16-03</v>
      </c>
      <c r="N376" s="25">
        <f>STT!N64</f>
        <v>979.2</v>
      </c>
      <c r="O376" s="73" t="str">
        <f>STT!O64</f>
        <v>.14-01</v>
      </c>
      <c r="P376" s="25" t="str">
        <f>STT!P64</f>
        <v xml:space="preserve"> </v>
      </c>
      <c r="Q376" s="36" t="str">
        <f>STT!Q64</f>
        <v xml:space="preserve"> </v>
      </c>
      <c r="R376" s="31" t="str">
        <f>STT!R64</f>
        <v xml:space="preserve"> </v>
      </c>
      <c r="S376" s="25" t="str">
        <f>STT!S64</f>
        <v xml:space="preserve"> </v>
      </c>
      <c r="T376" s="36" t="str">
        <f>STT!T64</f>
        <v xml:space="preserve"> </v>
      </c>
      <c r="U376" s="31" t="str">
        <f>STT!U64</f>
        <v xml:space="preserve"> </v>
      </c>
    </row>
    <row r="377" spans="1:21">
      <c r="A377" s="143" t="str">
        <f>CZ.V!A78</f>
        <v>Carl Zeiss</v>
      </c>
      <c r="B377" s="11" t="str">
        <f>CZ.V!B78</f>
        <v>Tele-Apotessar T* 400/4 N</v>
      </c>
      <c r="C377" s="16">
        <f>CZ.V!C78</f>
        <v>400</v>
      </c>
      <c r="D377" s="18">
        <f>CZ.V!D78</f>
        <v>4</v>
      </c>
      <c r="E377" s="31">
        <f>CZ.V!E78</f>
        <v>640</v>
      </c>
      <c r="F377" s="16" t="str">
        <f>CZ.V!F78</f>
        <v>N</v>
      </c>
      <c r="G377" s="58">
        <f>CZ.V!G78</f>
        <v>2.9</v>
      </c>
      <c r="H377" s="53">
        <f>CZ.V!H78</f>
        <v>3.58</v>
      </c>
      <c r="I377" s="16">
        <f>CZ.V!I78</f>
        <v>290</v>
      </c>
      <c r="J377" s="16">
        <f>CZ.V!J78</f>
        <v>120</v>
      </c>
      <c r="K377" s="18" t="str">
        <f>CZ.V!K78</f>
        <v>d.i.</v>
      </c>
      <c r="L377" s="25">
        <f>CZ.V!L78</f>
        <v>2749.75</v>
      </c>
      <c r="M377" s="36" t="str">
        <f>CZ.V!M78</f>
        <v>.15-04</v>
      </c>
      <c r="N377" s="25">
        <f>CZ.V!N78</f>
        <v>3683.5</v>
      </c>
      <c r="O377" s="73" t="str">
        <f>CZ.V!O78</f>
        <v>.12-10</v>
      </c>
      <c r="P377" s="25" t="str">
        <f>CZ.V!P78</f>
        <v xml:space="preserve"> </v>
      </c>
      <c r="Q377" s="36" t="str">
        <f>CZ.V!Q78</f>
        <v xml:space="preserve"> </v>
      </c>
      <c r="R377" s="31" t="str">
        <f>CZ.V!R78</f>
        <v xml:space="preserve"> </v>
      </c>
      <c r="S377" s="25" t="str">
        <f>CZ.V!S78</f>
        <v xml:space="preserve"> </v>
      </c>
      <c r="T377" s="36" t="str">
        <f>CZ.V!T78</f>
        <v xml:space="preserve"> </v>
      </c>
      <c r="U377" s="31" t="str">
        <f>CZ.V!U78</f>
        <v xml:space="preserve"> </v>
      </c>
    </row>
    <row r="378" spans="1:21">
      <c r="A378" s="143" t="str">
        <f>EFp!A61</f>
        <v>Canon</v>
      </c>
      <c r="B378" s="11" t="str">
        <f>EFp!B61</f>
        <v xml:space="preserve">EF 400/5.6 L USM </v>
      </c>
      <c r="C378" s="16">
        <f>EFp!C61</f>
        <v>400</v>
      </c>
      <c r="D378" s="18">
        <f>EFp!D61</f>
        <v>5.6</v>
      </c>
      <c r="E378" s="31">
        <f>EFp!E61</f>
        <v>640</v>
      </c>
      <c r="F378" s="16" t="str">
        <f>EFp!F61</f>
        <v>EF</v>
      </c>
      <c r="G378" s="58">
        <f>EFp!G61</f>
        <v>3.5</v>
      </c>
      <c r="H378" s="53">
        <f>EFp!H61</f>
        <v>1.25</v>
      </c>
      <c r="I378" s="16">
        <f>EFp!I61</f>
        <v>256.60000000000002</v>
      </c>
      <c r="J378" s="16">
        <f>EFp!J61</f>
        <v>90</v>
      </c>
      <c r="K378" s="18">
        <f>EFp!K61</f>
        <v>77</v>
      </c>
      <c r="L378" s="25">
        <f>EFp!L61</f>
        <v>741.90909090909088</v>
      </c>
      <c r="M378" s="36" t="str">
        <f>EFp!M61</f>
        <v>.16-05</v>
      </c>
      <c r="N378" s="25">
        <f>EFp!N61</f>
        <v>871</v>
      </c>
      <c r="O378" s="73" t="str">
        <f>EFp!O61</f>
        <v>.16-05</v>
      </c>
      <c r="P378" s="25">
        <f>EFp!P61</f>
        <v>900</v>
      </c>
      <c r="Q378" s="36" t="str">
        <f>EFp!Q61</f>
        <v>.16-01</v>
      </c>
      <c r="R378" s="31" t="str">
        <f>EFp!R61</f>
        <v>LA</v>
      </c>
      <c r="S378" s="25">
        <f>EFp!S61</f>
        <v>1075</v>
      </c>
      <c r="T378" s="36" t="str">
        <f>EFp!T61</f>
        <v>.16-01</v>
      </c>
      <c r="U378" s="31" t="str">
        <f>EFp!U61</f>
        <v>camW</v>
      </c>
    </row>
    <row r="379" spans="1:21">
      <c r="A379" s="144" t="str">
        <f>LNOP!A143</f>
        <v>Pentax</v>
      </c>
      <c r="B379" s="22" t="str">
        <f>LNOP!B143</f>
        <v xml:space="preserve">SMC Pentax-M, -A 400/5.6 </v>
      </c>
      <c r="C379" s="27">
        <f>LNOP!C143</f>
        <v>400</v>
      </c>
      <c r="D379" s="41">
        <f>LNOP!D143</f>
        <v>5.6</v>
      </c>
      <c r="E379" s="33">
        <f>LNOP!E143</f>
        <v>520</v>
      </c>
      <c r="F379" s="27" t="str">
        <f>LNOP!F143</f>
        <v>K</v>
      </c>
      <c r="G379" s="55">
        <f>LNOP!G143</f>
        <v>5</v>
      </c>
      <c r="H379" s="56">
        <f>LNOP!H143</f>
        <v>1.22</v>
      </c>
      <c r="I379" s="27">
        <f>LNOP!I143</f>
        <v>277</v>
      </c>
      <c r="J379" s="27">
        <f>LNOP!J143</f>
        <v>85</v>
      </c>
      <c r="K379" s="41">
        <f>LNOP!K143</f>
        <v>77</v>
      </c>
      <c r="L379" s="26">
        <f>LNOP!L143</f>
        <v>299.60000000000002</v>
      </c>
      <c r="M379" s="24" t="str">
        <f>LNOP!M143</f>
        <v>.16-05</v>
      </c>
      <c r="N379" s="26">
        <f>LNOP!N143</f>
        <v>458.5</v>
      </c>
      <c r="O379" s="124" t="str">
        <f>LNOP!O143</f>
        <v>.16-03</v>
      </c>
      <c r="P379" s="26">
        <f>LNOP!P143</f>
        <v>379.24</v>
      </c>
      <c r="Q379" s="24" t="str">
        <f>LNOP!Q143</f>
        <v>.15-10</v>
      </c>
      <c r="R379" s="33" t="str">
        <f>LNOP!R143</f>
        <v>ctc</v>
      </c>
      <c r="S379" s="26">
        <f>LNOP!S143</f>
        <v>600</v>
      </c>
      <c r="T379" s="24" t="str">
        <f>LNOP!T143</f>
        <v>.13-08</v>
      </c>
      <c r="U379" s="33" t="str">
        <f>LNOP!U143</f>
        <v>ado</v>
      </c>
    </row>
    <row r="380" spans="1:21">
      <c r="A380" s="143" t="str">
        <f>EFp!A62</f>
        <v>Canon</v>
      </c>
      <c r="B380" s="11" t="str">
        <f>EFp!B62</f>
        <v xml:space="preserve">EF 500/4 L IS USM </v>
      </c>
      <c r="C380" s="16">
        <f>EFp!C62</f>
        <v>500</v>
      </c>
      <c r="D380" s="18">
        <f>EFp!D62</f>
        <v>4</v>
      </c>
      <c r="E380" s="31">
        <f>EFp!E62</f>
        <v>800</v>
      </c>
      <c r="F380" s="16" t="str">
        <f>EFp!F62</f>
        <v>EF</v>
      </c>
      <c r="G380" s="58">
        <f>EFp!G62</f>
        <v>4.5</v>
      </c>
      <c r="H380" s="53">
        <f>EFp!H62</f>
        <v>3.87</v>
      </c>
      <c r="I380" s="16">
        <f>EFp!I62</f>
        <v>387</v>
      </c>
      <c r="J380" s="16">
        <f>EFp!J62</f>
        <v>146</v>
      </c>
      <c r="K380" s="18" t="str">
        <f>EFp!K62</f>
        <v>52 di</v>
      </c>
      <c r="L380" s="25">
        <f>EFp!L62</f>
        <v>4604</v>
      </c>
      <c r="M380" s="36" t="str">
        <f>EFp!M62</f>
        <v>.16-04</v>
      </c>
      <c r="N380" s="25">
        <f>EFp!N62</f>
        <v>5434.6</v>
      </c>
      <c r="O380" s="73" t="str">
        <f>EFp!O62</f>
        <v>.16-05</v>
      </c>
      <c r="P380" s="25">
        <f>EFp!P62</f>
        <v>5000</v>
      </c>
      <c r="Q380" s="36" t="str">
        <f>EFp!Q62</f>
        <v>.16-01</v>
      </c>
      <c r="R380" s="31" t="str">
        <f>EFp!R62</f>
        <v>b&amp;h</v>
      </c>
      <c r="S380" s="25">
        <f>EFp!S62</f>
        <v>5300</v>
      </c>
      <c r="T380" s="36" t="str">
        <f>EFp!T62</f>
        <v>.16-01</v>
      </c>
      <c r="U380" s="31" t="str">
        <f>EFp!U62</f>
        <v>b&amp;h</v>
      </c>
    </row>
    <row r="381" spans="1:21">
      <c r="A381" s="143" t="str">
        <f>EFp!A63</f>
        <v>Canon</v>
      </c>
      <c r="B381" s="11" t="str">
        <f>EFp!B63</f>
        <v xml:space="preserve">EF 500/4 L IS II USM </v>
      </c>
      <c r="C381" s="16">
        <f>EFp!C63</f>
        <v>500</v>
      </c>
      <c r="D381" s="18">
        <f>EFp!D63</f>
        <v>4</v>
      </c>
      <c r="E381" s="31">
        <f>EFp!E63</f>
        <v>800</v>
      </c>
      <c r="F381" s="16" t="str">
        <f>EFp!F63</f>
        <v>EF</v>
      </c>
      <c r="G381" s="58">
        <f>EFp!G63</f>
        <v>3.7</v>
      </c>
      <c r="H381" s="53">
        <f>EFp!H63</f>
        <v>3.19</v>
      </c>
      <c r="I381" s="16">
        <f>EFp!I63</f>
        <v>383</v>
      </c>
      <c r="J381" s="16">
        <f>EFp!J63</f>
        <v>146</v>
      </c>
      <c r="K381" s="18" t="str">
        <f>EFp!K63</f>
        <v>52 di</v>
      </c>
      <c r="L381" s="25">
        <f>EFp!L63</f>
        <v>7500.5</v>
      </c>
      <c r="M381" s="36" t="str">
        <f>EFp!M63</f>
        <v>.16-05</v>
      </c>
      <c r="N381" s="25">
        <f>EFp!N63</f>
        <v>10024.5</v>
      </c>
      <c r="O381" s="73" t="str">
        <f>EFp!O63</f>
        <v>.14-08</v>
      </c>
      <c r="P381" s="25">
        <f>EFp!P63</f>
        <v>7690</v>
      </c>
      <c r="Q381" s="36" t="str">
        <f>EFp!Q63</f>
        <v>.15-04</v>
      </c>
      <c r="R381" s="31" t="str">
        <f>EFp!R63</f>
        <v>LA</v>
      </c>
      <c r="S381" s="25">
        <f>EFp!S63</f>
        <v>7830</v>
      </c>
      <c r="T381" s="36" t="str">
        <f>EFp!T63</f>
        <v>.15-04</v>
      </c>
      <c r="U381" s="31" t="str">
        <f>EFp!U63</f>
        <v>LA</v>
      </c>
    </row>
    <row r="382" spans="1:21">
      <c r="A382" s="143" t="str">
        <f>LNOP!A63</f>
        <v>Nikon</v>
      </c>
      <c r="B382" s="11" t="str">
        <f>LNOP!B63</f>
        <v>Nikkor ED 500/4 P</v>
      </c>
      <c r="C382" s="16">
        <f>LNOP!C63</f>
        <v>500</v>
      </c>
      <c r="D382" s="18">
        <f>LNOP!D63</f>
        <v>4</v>
      </c>
      <c r="E382" s="31">
        <f>LNOP!E63</f>
        <v>800</v>
      </c>
      <c r="F382" s="16" t="str">
        <f>LNOP!F63</f>
        <v>AIS</v>
      </c>
      <c r="G382" s="58">
        <f>LNOP!G63</f>
        <v>5</v>
      </c>
      <c r="H382" s="53">
        <f>LNOP!H63</f>
        <v>3</v>
      </c>
      <c r="I382" s="16">
        <f>LNOP!I63</f>
        <v>384</v>
      </c>
      <c r="J382" s="16">
        <f>LNOP!J63</f>
        <v>138</v>
      </c>
      <c r="K382" s="18" t="str">
        <f>LNOP!K63</f>
        <v>39 di</v>
      </c>
      <c r="L382" s="25">
        <f>LNOP!L63</f>
        <v>1809.6666666666667</v>
      </c>
      <c r="M382" s="36" t="str">
        <f>LNOP!M63</f>
        <v>.16-04</v>
      </c>
      <c r="N382" s="25">
        <f>LNOP!N63</f>
        <v>2237.2222222222222</v>
      </c>
      <c r="O382" s="73" t="str">
        <f>LNOP!O63</f>
        <v>.16-05</v>
      </c>
      <c r="P382" s="25">
        <f>LNOP!P63</f>
        <v>1800</v>
      </c>
      <c r="Q382" s="36" t="str">
        <f>LNOP!Q63</f>
        <v>.16-01</v>
      </c>
      <c r="R382" s="31" t="str">
        <f>LNOP!R63</f>
        <v>b&amp;h</v>
      </c>
      <c r="S382" s="25">
        <f>LNOP!S63</f>
        <v>2000</v>
      </c>
      <c r="T382" s="36" t="str">
        <f>LNOP!T63</f>
        <v>.16-01</v>
      </c>
      <c r="U382" s="31" t="str">
        <f>LNOP!U63</f>
        <v>b&amp;h</v>
      </c>
    </row>
    <row r="383" spans="1:21">
      <c r="A383" s="143" t="str">
        <f>EFp!A64</f>
        <v>Canon</v>
      </c>
      <c r="B383" s="11" t="str">
        <f>EFp!B64</f>
        <v xml:space="preserve">EF 500/4.5 L USM </v>
      </c>
      <c r="C383" s="16">
        <f>EFp!C64</f>
        <v>500</v>
      </c>
      <c r="D383" s="18">
        <f>EFp!D64</f>
        <v>4.5</v>
      </c>
      <c r="E383" s="31">
        <f>EFp!E64</f>
        <v>800</v>
      </c>
      <c r="F383" s="16" t="str">
        <f>EFp!F64</f>
        <v>EF</v>
      </c>
      <c r="G383" s="58">
        <f>EFp!G64</f>
        <v>5</v>
      </c>
      <c r="H383" s="53">
        <f>EFp!H64</f>
        <v>3</v>
      </c>
      <c r="I383" s="16">
        <f>EFp!I64</f>
        <v>390</v>
      </c>
      <c r="J383" s="16">
        <f>EFp!J64</f>
        <v>130</v>
      </c>
      <c r="K383" s="18" t="str">
        <f>EFp!K64</f>
        <v>48 di</v>
      </c>
      <c r="L383" s="25">
        <f>EFp!L64</f>
        <v>2922.1</v>
      </c>
      <c r="M383" s="36" t="str">
        <f>EFp!M64</f>
        <v>.15-04</v>
      </c>
      <c r="N383" s="25">
        <f>EFp!N64</f>
        <v>3809.2727272727275</v>
      </c>
      <c r="O383" s="73" t="str">
        <f>EFp!O64</f>
        <v>.15-02</v>
      </c>
      <c r="P383" s="25">
        <f>EFp!P64</f>
        <v>2700</v>
      </c>
      <c r="Q383" s="36" t="str">
        <f>EFp!Q64</f>
        <v>.16-01</v>
      </c>
      <c r="R383" s="31" t="str">
        <f>EFp!R64</f>
        <v>keh</v>
      </c>
      <c r="S383" s="25">
        <f>EFp!S64</f>
        <v>4460</v>
      </c>
      <c r="T383" s="36" t="str">
        <f>EFp!T64</f>
        <v>.12-02</v>
      </c>
      <c r="U383" s="31" t="str">
        <f>EFp!U64</f>
        <v>keh</v>
      </c>
    </row>
    <row r="384" spans="1:21">
      <c r="A384" s="143" t="str">
        <f>STT!A26</f>
        <v>Sigma</v>
      </c>
      <c r="B384" s="11" t="str">
        <f>STT!B26</f>
        <v>EX 500/4.5 DG APO AF</v>
      </c>
      <c r="C384" s="16">
        <f>STT!C26</f>
        <v>500</v>
      </c>
      <c r="D384" s="18">
        <f>STT!D26</f>
        <v>4.5</v>
      </c>
      <c r="E384" s="31">
        <f>STT!E26</f>
        <v>800</v>
      </c>
      <c r="F384" s="16" t="str">
        <f>STT!F26</f>
        <v>EF</v>
      </c>
      <c r="G384" s="58">
        <f>STT!G26</f>
        <v>4</v>
      </c>
      <c r="H384" s="53">
        <f>STT!H26</f>
        <v>3.1</v>
      </c>
      <c r="I384" s="16">
        <f>STT!I26</f>
        <v>350</v>
      </c>
      <c r="J384" s="16">
        <f>STT!J26</f>
        <v>123</v>
      </c>
      <c r="K384" s="18">
        <f>STT!K26</f>
        <v>46</v>
      </c>
      <c r="L384" s="25">
        <f>STT!L26</f>
        <v>1821.75</v>
      </c>
      <c r="M384" s="36" t="str">
        <f>STT!M26</f>
        <v>.16-01</v>
      </c>
      <c r="N384" s="25">
        <f>STT!N26</f>
        <v>2466</v>
      </c>
      <c r="O384" s="73" t="str">
        <f>STT!O26</f>
        <v>.16-01</v>
      </c>
      <c r="P384" s="25">
        <f>STT!P26</f>
        <v>2279.2400000000002</v>
      </c>
      <c r="Q384" s="36" t="str">
        <f>STT!Q26</f>
        <v>.15-04</v>
      </c>
      <c r="R384" s="31" t="str">
        <f>STT!R26</f>
        <v>ctc</v>
      </c>
      <c r="S384" s="25">
        <f>STT!S26</f>
        <v>3802</v>
      </c>
      <c r="T384" s="36" t="str">
        <f>STT!T26</f>
        <v>.14-08</v>
      </c>
      <c r="U384" s="31" t="str">
        <f>STT!U26</f>
        <v>keh</v>
      </c>
    </row>
    <row r="385" spans="1:21">
      <c r="A385" s="143" t="str">
        <f>LNOP!A107</f>
        <v>Pentax</v>
      </c>
      <c r="B385" s="11" t="str">
        <f>LNOP!B107</f>
        <v>SMC Takumar 500/4.5 ps</v>
      </c>
      <c r="C385" s="16">
        <f>LNOP!C107</f>
        <v>500</v>
      </c>
      <c r="D385" s="18">
        <f>LNOP!D107</f>
        <v>4.5</v>
      </c>
      <c r="E385" s="31">
        <f>LNOP!E107</f>
        <v>800</v>
      </c>
      <c r="F385" s="16" t="str">
        <f>LNOP!F107</f>
        <v>M42</v>
      </c>
      <c r="G385" s="58">
        <f>LNOP!G107</f>
        <v>10</v>
      </c>
      <c r="H385" s="53">
        <f>LNOP!H107</f>
        <v>3.5</v>
      </c>
      <c r="I385" s="16" t="str">
        <f>LNOP!I107</f>
        <v xml:space="preserve"> </v>
      </c>
      <c r="J385" s="16" t="str">
        <f>LNOP!J107</f>
        <v xml:space="preserve"> </v>
      </c>
      <c r="K385" s="18">
        <f>LNOP!K107</f>
        <v>46</v>
      </c>
      <c r="L385" s="25">
        <f>LNOP!L107</f>
        <v>356.42857142857144</v>
      </c>
      <c r="M385" s="36" t="str">
        <f>LNOP!M107</f>
        <v>.16-05</v>
      </c>
      <c r="N385" s="25">
        <f>LNOP!N107</f>
        <v>472.5</v>
      </c>
      <c r="O385" s="73" t="str">
        <f>LNOP!O107</f>
        <v>.16-03</v>
      </c>
      <c r="P385" s="25">
        <f>LNOP!P107</f>
        <v>500</v>
      </c>
      <c r="Q385" s="36" t="str">
        <f>LNOP!Q107</f>
        <v>.16-01</v>
      </c>
      <c r="R385" s="31" t="str">
        <f>LNOP!R107</f>
        <v>b&amp;h</v>
      </c>
      <c r="S385" s="25" t="str">
        <f>LNOP!S107</f>
        <v xml:space="preserve"> </v>
      </c>
      <c r="T385" s="36" t="str">
        <f>LNOP!T107</f>
        <v xml:space="preserve"> </v>
      </c>
      <c r="U385" s="31" t="str">
        <f>LNOP!U107</f>
        <v xml:space="preserve"> </v>
      </c>
    </row>
    <row r="386" spans="1:21">
      <c r="A386" s="143" t="str">
        <f>LNOP!A144</f>
        <v>Pentax</v>
      </c>
      <c r="B386" s="11" t="str">
        <f>LNOP!B144</f>
        <v>SMC Pentax 500/4.5 (ma)</v>
      </c>
      <c r="C386" s="16">
        <f>LNOP!C144</f>
        <v>500</v>
      </c>
      <c r="D386" s="18">
        <f>LNOP!D144</f>
        <v>4.5</v>
      </c>
      <c r="E386" s="31">
        <f>LNOP!E144</f>
        <v>800</v>
      </c>
      <c r="F386" s="16" t="str">
        <f>LNOP!F144</f>
        <v>K</v>
      </c>
      <c r="G386" s="58">
        <f>LNOP!G144</f>
        <v>10</v>
      </c>
      <c r="H386" s="53">
        <f>LNOP!H144</f>
        <v>3.37</v>
      </c>
      <c r="I386" s="16">
        <f>LNOP!I144</f>
        <v>440</v>
      </c>
      <c r="J386" s="16">
        <f>LNOP!J144</f>
        <v>127</v>
      </c>
      <c r="K386" s="18">
        <f>LNOP!K144</f>
        <v>52</v>
      </c>
      <c r="L386" s="25">
        <f>LNOP!L144</f>
        <v>514.9</v>
      </c>
      <c r="M386" s="36" t="str">
        <f>LNOP!M144</f>
        <v>.16-05</v>
      </c>
      <c r="N386" s="25">
        <f>LNOP!N144</f>
        <v>800</v>
      </c>
      <c r="O386" s="73" t="str">
        <f>LNOP!O144</f>
        <v>.15-04</v>
      </c>
      <c r="P386" s="25">
        <f>LNOP!P144</f>
        <v>415</v>
      </c>
      <c r="Q386" s="36" t="str">
        <f>LNOP!Q144</f>
        <v>.13-08</v>
      </c>
      <c r="R386" s="31" t="str">
        <f>LNOP!R144</f>
        <v>keh</v>
      </c>
      <c r="S386" s="25">
        <f>LNOP!S144</f>
        <v>800</v>
      </c>
      <c r="T386" s="36" t="str">
        <f>LNOP!T144</f>
        <v>.16-05</v>
      </c>
      <c r="U386" s="31" t="str">
        <f>LNOP!U144</f>
        <v>b&amp;h</v>
      </c>
    </row>
    <row r="387" spans="1:21">
      <c r="A387" s="143" t="str">
        <f>'645'!A27</f>
        <v>Mamiya</v>
      </c>
      <c r="B387" s="11" t="str">
        <f>'645'!B27</f>
        <v>Mamiya A 500/4.5 APO</v>
      </c>
      <c r="C387" s="16">
        <f>'645'!C27</f>
        <v>500</v>
      </c>
      <c r="D387" s="18">
        <f>'645'!D27</f>
        <v>4.5</v>
      </c>
      <c r="E387" s="31">
        <f>'645'!E27</f>
        <v>800</v>
      </c>
      <c r="F387" s="16" t="str">
        <f>'645'!F27</f>
        <v>M645</v>
      </c>
      <c r="G387" s="58">
        <f>'645'!G27</f>
        <v>5</v>
      </c>
      <c r="H387" s="53">
        <f>'645'!H27</f>
        <v>5.4</v>
      </c>
      <c r="I387" s="16">
        <f>'645'!I27</f>
        <v>378</v>
      </c>
      <c r="J387" s="16">
        <f>'645'!J27</f>
        <v>162</v>
      </c>
      <c r="K387" s="18" t="str">
        <f>'645'!K27</f>
        <v>43.5di</v>
      </c>
      <c r="L387" s="25">
        <f>'645'!L27</f>
        <v>2300</v>
      </c>
      <c r="M387" s="36" t="str">
        <f>'645'!M27</f>
        <v>.09-03</v>
      </c>
      <c r="N387" s="25">
        <f>'645'!N27</f>
        <v>5600</v>
      </c>
      <c r="O387" s="73" t="str">
        <f>'645'!O27</f>
        <v>.16-04</v>
      </c>
      <c r="P387" s="25">
        <f>'645'!P27</f>
        <v>3350</v>
      </c>
      <c r="Q387" s="36" t="str">
        <f>'645'!Q27</f>
        <v>.09-05</v>
      </c>
      <c r="R387" s="31" t="str">
        <f>'645'!R27</f>
        <v>b&amp;h</v>
      </c>
      <c r="S387" s="25" t="str">
        <f>'645'!S27</f>
        <v>17.4k</v>
      </c>
      <c r="T387" s="36" t="str">
        <f>'645'!T27</f>
        <v>.10-02</v>
      </c>
      <c r="U387" s="31" t="str">
        <f>'645'!U27</f>
        <v>mpex</v>
      </c>
    </row>
    <row r="388" spans="1:21">
      <c r="A388" s="143" t="str">
        <f>CZ.V!A64</f>
        <v>Carl Zeiss</v>
      </c>
      <c r="B388" s="11" t="str">
        <f>CZ.V!B64</f>
        <v>Tele-Apotessar T* 500/5.6 CY</v>
      </c>
      <c r="C388" s="16">
        <f>CZ.V!C64</f>
        <v>500</v>
      </c>
      <c r="D388" s="18">
        <f>CZ.V!D64</f>
        <v>5.6</v>
      </c>
      <c r="E388" s="31">
        <f>CZ.V!E64</f>
        <v>800</v>
      </c>
      <c r="F388" s="16" t="str">
        <f>CZ.V!F64</f>
        <v>CY</v>
      </c>
      <c r="G388" s="58">
        <f>CZ.V!G64</f>
        <v>4.9000000000000004</v>
      </c>
      <c r="H388" s="53">
        <f>CZ.V!H64</f>
        <v>1.865</v>
      </c>
      <c r="I388" s="16">
        <f>CZ.V!I64</f>
        <v>290</v>
      </c>
      <c r="J388" s="16">
        <f>CZ.V!J64</f>
        <v>112</v>
      </c>
      <c r="K388" s="18" t="str">
        <f>CZ.V!K64</f>
        <v>c.o.</v>
      </c>
      <c r="L388" s="25">
        <f>CZ.V!L64</f>
        <v>0</v>
      </c>
      <c r="M388" s="36" t="str">
        <f>CZ.V!M64</f>
        <v xml:space="preserve"> </v>
      </c>
      <c r="N388" s="25">
        <f>CZ.V!N64</f>
        <v>0</v>
      </c>
      <c r="O388" s="73" t="str">
        <f>CZ.V!O64</f>
        <v xml:space="preserve"> </v>
      </c>
      <c r="P388" s="25" t="str">
        <f>CZ.V!P64</f>
        <v xml:space="preserve"> </v>
      </c>
      <c r="Q388" s="36" t="str">
        <f>CZ.V!Q64</f>
        <v xml:space="preserve"> </v>
      </c>
      <c r="R388" s="31" t="str">
        <f>CZ.V!R64</f>
        <v xml:space="preserve"> </v>
      </c>
      <c r="S388" s="25" t="str">
        <f>CZ.V!S64</f>
        <v xml:space="preserve"> </v>
      </c>
      <c r="T388" s="36" t="str">
        <f>CZ.V!T64</f>
        <v xml:space="preserve"> </v>
      </c>
      <c r="U388" s="31" t="str">
        <f>CZ.V!U64</f>
        <v xml:space="preserve"> </v>
      </c>
    </row>
    <row r="389" spans="1:21">
      <c r="A389" s="143" t="str">
        <f>'645'!A21</f>
        <v>Mamiya</v>
      </c>
      <c r="B389" s="11" t="str">
        <f>'645'!B21</f>
        <v>Mamiya-Sekor C 500/5.6</v>
      </c>
      <c r="C389" s="16">
        <f>'645'!C21</f>
        <v>500</v>
      </c>
      <c r="D389" s="18">
        <f>'645'!D21</f>
        <v>5.6</v>
      </c>
      <c r="E389" s="31">
        <f>'645'!E21</f>
        <v>800</v>
      </c>
      <c r="F389" s="16" t="str">
        <f>'645'!F21</f>
        <v>M645</v>
      </c>
      <c r="G389" s="58">
        <f>'645'!G21</f>
        <v>9</v>
      </c>
      <c r="H389" s="53">
        <f>'645'!H21</f>
        <v>2.2799999999999998</v>
      </c>
      <c r="I389" s="16">
        <f>'645'!I21</f>
        <v>358</v>
      </c>
      <c r="J389" s="16">
        <f>'645'!J21</f>
        <v>114</v>
      </c>
      <c r="K389" s="18">
        <f>'645'!K21</f>
        <v>105</v>
      </c>
      <c r="L389" s="25">
        <f>'645'!L21</f>
        <v>263.2</v>
      </c>
      <c r="M389" s="36" t="str">
        <f>'645'!M21</f>
        <v>.16-01</v>
      </c>
      <c r="N389" s="25">
        <f>'645'!N21</f>
        <v>386.25</v>
      </c>
      <c r="O389" s="73" t="str">
        <f>'645'!O21</f>
        <v>.16-05</v>
      </c>
      <c r="P389" s="25">
        <f>'645'!P21</f>
        <v>400</v>
      </c>
      <c r="Q389" s="36" t="str">
        <f>'645'!Q21</f>
        <v>.15-04</v>
      </c>
      <c r="R389" s="31" t="str">
        <f>'645'!R21</f>
        <v>ado</v>
      </c>
      <c r="S389" s="25">
        <f>'645'!S21</f>
        <v>700</v>
      </c>
      <c r="T389" s="36" t="str">
        <f>'645'!T21</f>
        <v>.13-07</v>
      </c>
      <c r="U389" s="31" t="str">
        <f>'645'!U21</f>
        <v>b&amp;h</v>
      </c>
    </row>
    <row r="390" spans="1:21">
      <c r="A390" s="144" t="str">
        <f>'645'!A22</f>
        <v>Mamiya</v>
      </c>
      <c r="B390" s="22" t="str">
        <f>'645'!B22</f>
        <v>Mamiya-Sekor C 500/8 Reflex</v>
      </c>
      <c r="C390" s="27">
        <f>'645'!C22</f>
        <v>500</v>
      </c>
      <c r="D390" s="41">
        <f>'645'!D22</f>
        <v>8</v>
      </c>
      <c r="E390" s="33">
        <f>'645'!E22</f>
        <v>800</v>
      </c>
      <c r="F390" s="27" t="str">
        <f>'645'!F22</f>
        <v>M645</v>
      </c>
      <c r="G390" s="55">
        <f>'645'!G22</f>
        <v>4</v>
      </c>
      <c r="H390" s="56">
        <f>'645'!H22</f>
        <v>0.88300000000000001</v>
      </c>
      <c r="I390" s="27">
        <f>'645'!I22</f>
        <v>163</v>
      </c>
      <c r="J390" s="27" t="str">
        <f>'645'!J22</f>
        <v xml:space="preserve"> </v>
      </c>
      <c r="K390" s="41" t="str">
        <f>'645'!K22</f>
        <v xml:space="preserve"> </v>
      </c>
      <c r="L390" s="26">
        <f>'645'!L22</f>
        <v>232</v>
      </c>
      <c r="M390" s="24" t="str">
        <f>'645'!M22</f>
        <v>.16-04</v>
      </c>
      <c r="N390" s="26">
        <f>'645'!N22</f>
        <v>360.75</v>
      </c>
      <c r="O390" s="124" t="str">
        <f>'645'!O22</f>
        <v>.16-05</v>
      </c>
      <c r="P390" s="26" t="str">
        <f>'645'!P22</f>
        <v xml:space="preserve"> </v>
      </c>
      <c r="Q390" s="24" t="str">
        <f>'645'!Q22</f>
        <v xml:space="preserve"> </v>
      </c>
      <c r="R390" s="33" t="str">
        <f>'645'!R22</f>
        <v xml:space="preserve"> </v>
      </c>
      <c r="S390" s="26" t="str">
        <f>'645'!S22</f>
        <v xml:space="preserve"> </v>
      </c>
      <c r="T390" s="24" t="str">
        <f>'645'!T22</f>
        <v xml:space="preserve"> </v>
      </c>
      <c r="U390" s="33" t="str">
        <f>'645'!U22</f>
        <v xml:space="preserve"> </v>
      </c>
    </row>
    <row r="391" spans="1:21">
      <c r="A391" s="143" t="str">
        <f>EFp!A65</f>
        <v>Canon</v>
      </c>
      <c r="B391" s="11" t="str">
        <f>EFp!B65</f>
        <v xml:space="preserve">EF 600/4 L USM </v>
      </c>
      <c r="C391" s="16">
        <f>EFp!C65</f>
        <v>600</v>
      </c>
      <c r="D391" s="18">
        <f>EFp!D65</f>
        <v>4</v>
      </c>
      <c r="E391" s="31">
        <f>EFp!E65</f>
        <v>960</v>
      </c>
      <c r="F391" s="16" t="str">
        <f>EFp!F65</f>
        <v>EF</v>
      </c>
      <c r="G391" s="58">
        <f>EFp!G65</f>
        <v>6</v>
      </c>
      <c r="H391" s="53">
        <f>EFp!H65</f>
        <v>6</v>
      </c>
      <c r="I391" s="16">
        <f>EFp!I65</f>
        <v>456</v>
      </c>
      <c r="J391" s="16">
        <f>EFp!J65</f>
        <v>167</v>
      </c>
      <c r="K391" s="18" t="str">
        <f>EFp!K65</f>
        <v>48 di</v>
      </c>
      <c r="L391" s="25">
        <f>EFp!L65</f>
        <v>2400.3333333333335</v>
      </c>
      <c r="M391" s="36" t="str">
        <f>EFp!M65</f>
        <v>.16-05</v>
      </c>
      <c r="N391" s="25">
        <f>EFp!N65</f>
        <v>4556.75</v>
      </c>
      <c r="O391" s="73" t="str">
        <f>EFp!O65</f>
        <v>.16-03</v>
      </c>
      <c r="P391" s="25">
        <f>EFp!P65</f>
        <v>4200</v>
      </c>
      <c r="Q391" s="36" t="str">
        <f>EFp!Q65</f>
        <v>.16-01</v>
      </c>
      <c r="R391" s="31" t="str">
        <f>EFp!R65</f>
        <v>b&amp;h</v>
      </c>
      <c r="S391" s="25">
        <f>EFp!S65</f>
        <v>5295</v>
      </c>
      <c r="T391" s="36" t="str">
        <f>EFp!T65</f>
        <v>.11-11</v>
      </c>
      <c r="U391" s="31" t="str">
        <f>EFp!U65</f>
        <v>jack's</v>
      </c>
    </row>
    <row r="392" spans="1:21">
      <c r="A392" s="143" t="str">
        <f>EFp!A66</f>
        <v>Canon</v>
      </c>
      <c r="B392" s="11" t="str">
        <f>EFp!B66</f>
        <v xml:space="preserve">EF 600/4 L IS USM </v>
      </c>
      <c r="C392" s="16">
        <f>EFp!C66</f>
        <v>600</v>
      </c>
      <c r="D392" s="18">
        <f>EFp!D66</f>
        <v>4</v>
      </c>
      <c r="E392" s="31">
        <f>EFp!E66</f>
        <v>960</v>
      </c>
      <c r="F392" s="16" t="str">
        <f>EFp!F66</f>
        <v>EF</v>
      </c>
      <c r="G392" s="58">
        <f>EFp!G66</f>
        <v>5.5</v>
      </c>
      <c r="H392" s="53">
        <f>EFp!H66</f>
        <v>5.36</v>
      </c>
      <c r="I392" s="16">
        <f>EFp!I66</f>
        <v>456</v>
      </c>
      <c r="J392" s="16">
        <f>EFp!J66</f>
        <v>168</v>
      </c>
      <c r="K392" s="18" t="str">
        <f>EFp!K66</f>
        <v>52 di</v>
      </c>
      <c r="L392" s="25">
        <f>EFp!L66</f>
        <v>4862.7777777777774</v>
      </c>
      <c r="M392" s="36" t="str">
        <f>EFp!M66</f>
        <v>.16-01</v>
      </c>
      <c r="N392" s="25">
        <f>EFp!N66</f>
        <v>6080.8571428571431</v>
      </c>
      <c r="O392" s="73" t="str">
        <f>EFp!O66</f>
        <v>.16-04</v>
      </c>
      <c r="P392" s="25">
        <f>EFp!P66</f>
        <v>5500</v>
      </c>
      <c r="Q392" s="36" t="str">
        <f>EFp!Q66</f>
        <v>.16-05</v>
      </c>
      <c r="R392" s="31" t="str">
        <f>EFp!R66</f>
        <v>precis</v>
      </c>
      <c r="S392" s="25">
        <f>EFp!S66</f>
        <v>7800</v>
      </c>
      <c r="T392" s="36" t="str">
        <f>EFp!T66</f>
        <v>.15-03</v>
      </c>
      <c r="U392" s="31" t="str">
        <f>EFp!U66</f>
        <v>b&amp;h</v>
      </c>
    </row>
    <row r="393" spans="1:21">
      <c r="A393" s="143" t="str">
        <f>EFp!A67</f>
        <v>Canon</v>
      </c>
      <c r="B393" s="11" t="str">
        <f>EFp!B67</f>
        <v xml:space="preserve">EF 600/4 L IS II USM </v>
      </c>
      <c r="C393" s="16">
        <f>EFp!C67</f>
        <v>600</v>
      </c>
      <c r="D393" s="18">
        <f>EFp!D67</f>
        <v>4</v>
      </c>
      <c r="E393" s="31">
        <f>EFp!E67</f>
        <v>960</v>
      </c>
      <c r="F393" s="16" t="str">
        <f>EFp!F67</f>
        <v>EF</v>
      </c>
      <c r="G393" s="58">
        <f>EFp!G67</f>
        <v>4.5</v>
      </c>
      <c r="H393" s="53">
        <f>EFp!H67</f>
        <v>3.92</v>
      </c>
      <c r="I393" s="16">
        <f>EFp!I67</f>
        <v>447</v>
      </c>
      <c r="J393" s="16">
        <f>EFp!J67</f>
        <v>168</v>
      </c>
      <c r="K393" s="18" t="str">
        <f>EFp!K67</f>
        <v>52 di</v>
      </c>
      <c r="L393" s="25">
        <f>EFp!L67</f>
        <v>10089.25</v>
      </c>
      <c r="M393" s="36" t="str">
        <f>EFp!M67</f>
        <v>.16-05</v>
      </c>
      <c r="N393" s="25">
        <f>EFp!N67</f>
        <v>12749</v>
      </c>
      <c r="O393" s="73" t="str">
        <f>EFp!O67</f>
        <v>.13-05</v>
      </c>
      <c r="P393" s="25" t="str">
        <f>EFp!P67</f>
        <v xml:space="preserve"> </v>
      </c>
      <c r="Q393" s="36" t="str">
        <f>EFp!Q67</f>
        <v xml:space="preserve"> </v>
      </c>
      <c r="R393" s="31" t="str">
        <f>EFp!R67</f>
        <v xml:space="preserve"> </v>
      </c>
      <c r="S393" s="25">
        <f>EFp!S67</f>
        <v>10500</v>
      </c>
      <c r="T393" s="36" t="str">
        <f>EFp!T67</f>
        <v>.15-04</v>
      </c>
      <c r="U393" s="31" t="str">
        <f>EFp!U67</f>
        <v>ado</v>
      </c>
    </row>
    <row r="394" spans="1:21">
      <c r="A394" s="143" t="str">
        <f>LNOP!A64</f>
        <v>Nikon</v>
      </c>
      <c r="B394" s="11" t="str">
        <f>LNOP!B64</f>
        <v>Nikkor *ED 600/4 IF MF</v>
      </c>
      <c r="C394" s="16">
        <f>LNOP!C64</f>
        <v>600</v>
      </c>
      <c r="D394" s="18">
        <f>LNOP!D64</f>
        <v>4</v>
      </c>
      <c r="E394" s="31">
        <f>LNOP!E64</f>
        <v>960</v>
      </c>
      <c r="F394" s="16" t="str">
        <f>LNOP!F64</f>
        <v>AIS</v>
      </c>
      <c r="G394" s="58">
        <f>LNOP!G64</f>
        <v>7.6</v>
      </c>
      <c r="H394" s="53">
        <f>LNOP!H64</f>
        <v>5.65</v>
      </c>
      <c r="I394" s="16">
        <f>LNOP!I64</f>
        <v>464.8</v>
      </c>
      <c r="J394" s="16">
        <f>LNOP!J64</f>
        <v>172.7</v>
      </c>
      <c r="K394" s="18" t="str">
        <f>LNOP!K64</f>
        <v>39 di</v>
      </c>
      <c r="L394" s="25">
        <f>LNOP!L64</f>
        <v>2221.6999999999998</v>
      </c>
      <c r="M394" s="36" t="str">
        <f>LNOP!M64</f>
        <v>.16-05</v>
      </c>
      <c r="N394" s="25">
        <f>LNOP!N64</f>
        <v>2736.25</v>
      </c>
      <c r="O394" s="73" t="str">
        <f>LNOP!O64</f>
        <v>.15-03</v>
      </c>
      <c r="P394" s="25">
        <f>LNOP!P64</f>
        <v>3000</v>
      </c>
      <c r="Q394" s="36" t="str">
        <f>LNOP!Q64</f>
        <v>.16-01</v>
      </c>
      <c r="R394" s="31" t="str">
        <f>LNOP!R64</f>
        <v>b&amp;h</v>
      </c>
      <c r="S394" s="25" t="str">
        <f>LNOP!S64</f>
        <v xml:space="preserve"> </v>
      </c>
      <c r="T394" s="36" t="str">
        <f>LNOP!T64</f>
        <v xml:space="preserve"> </v>
      </c>
      <c r="U394" s="31" t="str">
        <f>LNOP!U64</f>
        <v xml:space="preserve"> </v>
      </c>
    </row>
    <row r="395" spans="1:21">
      <c r="A395" s="143" t="str">
        <f>LNOP!A145</f>
        <v>Pentax</v>
      </c>
      <c r="B395" s="11" t="str">
        <f>LNOP!B145</f>
        <v>SMC Pentax-FA* 600/4</v>
      </c>
      <c r="C395" s="16">
        <f>LNOP!C145</f>
        <v>600</v>
      </c>
      <c r="D395" s="18">
        <f>LNOP!D145</f>
        <v>4</v>
      </c>
      <c r="E395" s="31">
        <f>LNOP!E145</f>
        <v>960</v>
      </c>
      <c r="F395" s="16" t="str">
        <f>LNOP!F145</f>
        <v>KAF</v>
      </c>
      <c r="G395" s="58">
        <f>LNOP!G145</f>
        <v>5</v>
      </c>
      <c r="H395" s="53">
        <f>LNOP!H145</f>
        <v>6.8</v>
      </c>
      <c r="I395" s="16">
        <f>LNOP!I145</f>
        <v>457</v>
      </c>
      <c r="J395" s="16">
        <f>LNOP!J145</f>
        <v>176</v>
      </c>
      <c r="K395" s="18" t="str">
        <f>LNOP!K145</f>
        <v>150-43</v>
      </c>
      <c r="L395" s="25">
        <f>LNOP!L145</f>
        <v>4715.5</v>
      </c>
      <c r="M395" s="36" t="str">
        <f>LNOP!M145</f>
        <v>.16-01</v>
      </c>
      <c r="N395" s="25">
        <f>LNOP!N145</f>
        <v>7650</v>
      </c>
      <c r="O395" s="73" t="str">
        <f>LNOP!O145</f>
        <v>.15-07</v>
      </c>
      <c r="P395" s="25" t="str">
        <f>LNOP!P145</f>
        <v xml:space="preserve"> </v>
      </c>
      <c r="Q395" s="36" t="str">
        <f>LNOP!Q145</f>
        <v xml:space="preserve"> </v>
      </c>
      <c r="R395" s="31" t="str">
        <f>LNOP!R145</f>
        <v xml:space="preserve"> </v>
      </c>
      <c r="S395" s="25" t="str">
        <f>LNOP!S145</f>
        <v xml:space="preserve"> </v>
      </c>
      <c r="T395" s="36" t="str">
        <f>LNOP!T145</f>
        <v xml:space="preserve"> </v>
      </c>
      <c r="U395" s="31" t="str">
        <f>LNOP!U145</f>
        <v xml:space="preserve"> </v>
      </c>
    </row>
    <row r="396" spans="1:21">
      <c r="A396" s="143" t="str">
        <f>LNOP!A65</f>
        <v>Nikon</v>
      </c>
      <c r="B396" s="11" t="str">
        <f>LNOP!B65</f>
        <v>Nikkor *ED 600/5.6 IF MF</v>
      </c>
      <c r="C396" s="16">
        <f>LNOP!C65</f>
        <v>600</v>
      </c>
      <c r="D396" s="18">
        <f>LNOP!D65</f>
        <v>5.6</v>
      </c>
      <c r="E396" s="31">
        <f>LNOP!E65</f>
        <v>960</v>
      </c>
      <c r="F396" s="16" t="str">
        <f>LNOP!F65</f>
        <v>AIS</v>
      </c>
      <c r="G396" s="58">
        <f>LNOP!G65</f>
        <v>6.1</v>
      </c>
      <c r="H396" s="53">
        <f>LNOP!H65</f>
        <v>2.7</v>
      </c>
      <c r="I396" s="16">
        <f>LNOP!I65</f>
        <v>382</v>
      </c>
      <c r="J396" s="16">
        <f>LNOP!J65</f>
        <v>134</v>
      </c>
      <c r="K396" s="18" t="str">
        <f>LNOP!K65</f>
        <v>39 di</v>
      </c>
      <c r="L396" s="25">
        <f>LNOP!L65</f>
        <v>1159.8571428571429</v>
      </c>
      <c r="M396" s="36" t="str">
        <f>LNOP!M65</f>
        <v>.16-05</v>
      </c>
      <c r="N396" s="25">
        <f>LNOP!N65</f>
        <v>2114.3000000000002</v>
      </c>
      <c r="O396" s="73" t="str">
        <f>LNOP!O65</f>
        <v>.15-03</v>
      </c>
      <c r="P396" s="25">
        <f>LNOP!P65</f>
        <v>1602</v>
      </c>
      <c r="Q396" s="36" t="str">
        <f>LNOP!Q65</f>
        <v>.14-08</v>
      </c>
      <c r="R396" s="31" t="str">
        <f>LNOP!R65</f>
        <v>keh</v>
      </c>
      <c r="S396" s="25" t="str">
        <f>LNOP!S65</f>
        <v xml:space="preserve"> </v>
      </c>
      <c r="T396" s="36" t="str">
        <f>LNOP!T65</f>
        <v xml:space="preserve"> </v>
      </c>
      <c r="U396" s="31" t="str">
        <f>LNOP!U65</f>
        <v xml:space="preserve"> </v>
      </c>
    </row>
    <row r="397" spans="1:21">
      <c r="A397" s="144" t="str">
        <f>LNOP!A146</f>
        <v>Pentax</v>
      </c>
      <c r="B397" s="22" t="str">
        <f>LNOP!B146</f>
        <v>SMC Pentax-A* 600/5.6 ED IF</v>
      </c>
      <c r="C397" s="27">
        <f>LNOP!C146</f>
        <v>600</v>
      </c>
      <c r="D397" s="41">
        <f>LNOP!D146</f>
        <v>5.6</v>
      </c>
      <c r="E397" s="33">
        <f>LNOP!E146</f>
        <v>960</v>
      </c>
      <c r="F397" s="27" t="str">
        <f>LNOP!F146</f>
        <v>KA</v>
      </c>
      <c r="G397" s="55">
        <f>LNOP!G146</f>
        <v>5.5</v>
      </c>
      <c r="H397" s="56">
        <f>LNOP!H146</f>
        <v>3.28</v>
      </c>
      <c r="I397" s="27">
        <f>LNOP!I146</f>
        <v>386</v>
      </c>
      <c r="J397" s="27">
        <f>LNOP!J146</f>
        <v>133</v>
      </c>
      <c r="K397" s="41" t="str">
        <f>LNOP!K146</f>
        <v>112-49</v>
      </c>
      <c r="L397" s="26">
        <f>LNOP!L146</f>
        <v>2485.1666666666665</v>
      </c>
      <c r="M397" s="24" t="str">
        <f>LNOP!M146</f>
        <v>.16-03</v>
      </c>
      <c r="N397" s="26">
        <f>LNOP!N146</f>
        <v>3249</v>
      </c>
      <c r="O397" s="124" t="str">
        <f>LNOP!O146</f>
        <v>.15-12</v>
      </c>
      <c r="P397" s="26">
        <f>LNOP!P146</f>
        <v>1695</v>
      </c>
      <c r="Q397" s="24" t="str">
        <f>LNOP!Q146</f>
        <v>.09-09</v>
      </c>
      <c r="R397" s="33" t="str">
        <f>LNOP!R146</f>
        <v>camW</v>
      </c>
      <c r="S397" s="26" t="str">
        <f>LNOP!S146</f>
        <v xml:space="preserve"> </v>
      </c>
      <c r="T397" s="24" t="str">
        <f>LNOP!T146</f>
        <v xml:space="preserve"> </v>
      </c>
      <c r="U397" s="33" t="str">
        <f>LNOP!U146</f>
        <v xml:space="preserve"> </v>
      </c>
    </row>
    <row r="398" spans="1:21">
      <c r="A398" s="143" t="str">
        <f>EFp!A68</f>
        <v>Canon</v>
      </c>
      <c r="B398" s="11" t="str">
        <f>EFp!B68</f>
        <v xml:space="preserve">EF 800/5.6 L IS USM </v>
      </c>
      <c r="C398" s="16">
        <f>EFp!C68</f>
        <v>800</v>
      </c>
      <c r="D398" s="18">
        <f>EFp!D68</f>
        <v>5.6</v>
      </c>
      <c r="E398" s="31">
        <f>EFp!E68</f>
        <v>1280</v>
      </c>
      <c r="F398" s="16" t="str">
        <f>EFp!F68</f>
        <v>EF</v>
      </c>
      <c r="G398" s="58">
        <f>EFp!G68</f>
        <v>6</v>
      </c>
      <c r="H398" s="53">
        <f>EFp!H68</f>
        <v>4.5</v>
      </c>
      <c r="I398" s="16">
        <f>EFp!I68</f>
        <v>461</v>
      </c>
      <c r="J398" s="16">
        <f>EFp!J68</f>
        <v>162</v>
      </c>
      <c r="K398" s="18" t="str">
        <f>EFp!K68</f>
        <v>52 di</v>
      </c>
      <c r="L398" s="25">
        <f>EFp!L68</f>
        <v>7083.5</v>
      </c>
      <c r="M398" s="36" t="str">
        <f>EFp!M68</f>
        <v>.15-10</v>
      </c>
      <c r="N398" s="25">
        <f>EFp!N68</f>
        <v>9338.7777777777774</v>
      </c>
      <c r="O398" s="73" t="str">
        <f>EFp!O68</f>
        <v>.16-05</v>
      </c>
      <c r="P398" s="25">
        <f>EFp!P68</f>
        <v>8970</v>
      </c>
      <c r="Q398" s="36" t="str">
        <f>EFp!Q68</f>
        <v>.16-01</v>
      </c>
      <c r="R398" s="31" t="str">
        <f>EFp!R68</f>
        <v>LA</v>
      </c>
      <c r="S398" s="25">
        <f>EFp!S68</f>
        <v>11000</v>
      </c>
      <c r="T398" s="36" t="str">
        <f>EFp!T68</f>
        <v>.16-01</v>
      </c>
      <c r="U398" s="31" t="str">
        <f>EFp!U68</f>
        <v>b&amp;h</v>
      </c>
    </row>
    <row r="399" spans="1:21">
      <c r="A399" s="143" t="str">
        <f>STT!A27</f>
        <v>Sigma</v>
      </c>
      <c r="B399" s="11" t="str">
        <f>STT!B27</f>
        <v>EX 800/5.6 DG APO AF</v>
      </c>
      <c r="C399" s="16">
        <f>STT!C27</f>
        <v>800</v>
      </c>
      <c r="D399" s="18">
        <f>STT!D27</f>
        <v>5.6</v>
      </c>
      <c r="E399" s="31">
        <f>STT!E27</f>
        <v>1280</v>
      </c>
      <c r="F399" s="16" t="str">
        <f>STT!F27</f>
        <v>EF</v>
      </c>
      <c r="G399" s="58">
        <f>STT!G27</f>
        <v>7</v>
      </c>
      <c r="H399" s="53">
        <f>STT!H27</f>
        <v>4.74</v>
      </c>
      <c r="I399" s="16">
        <f>STT!I27</f>
        <v>520</v>
      </c>
      <c r="J399" s="16">
        <f>STT!J27</f>
        <v>157</v>
      </c>
      <c r="K399" s="18">
        <f>STT!K27</f>
        <v>46</v>
      </c>
      <c r="L399" s="25">
        <f>STT!L27</f>
        <v>3502</v>
      </c>
      <c r="M399" s="36" t="str">
        <f>STT!M27</f>
        <v>.15-04</v>
      </c>
      <c r="N399" s="25">
        <f>STT!N27</f>
        <v>4266</v>
      </c>
      <c r="O399" s="73" t="str">
        <f>STT!O27</f>
        <v>.13-01</v>
      </c>
      <c r="P399" s="25">
        <f>STT!P27</f>
        <v>2300</v>
      </c>
      <c r="Q399" s="36" t="str">
        <f>STT!Q27</f>
        <v>.15-04</v>
      </c>
      <c r="R399" s="31" t="str">
        <f>STT!R27</f>
        <v>b&amp;h</v>
      </c>
      <c r="S399" s="25" t="str">
        <f>STT!S27</f>
        <v xml:space="preserve"> </v>
      </c>
      <c r="T399" s="36" t="str">
        <f>STT!T27</f>
        <v xml:space="preserve"> </v>
      </c>
      <c r="U399" s="31" t="str">
        <f>STT!U27</f>
        <v xml:space="preserve"> </v>
      </c>
    </row>
    <row r="400" spans="1:21">
      <c r="A400" s="143" t="str">
        <f>LNOP!A66</f>
        <v>Nikon</v>
      </c>
      <c r="B400" s="11" t="str">
        <f>LNOP!B66</f>
        <v>Nikkor *ED 800/5.6 IF MF</v>
      </c>
      <c r="C400" s="16">
        <f>LNOP!C66</f>
        <v>800</v>
      </c>
      <c r="D400" s="18">
        <f>LNOP!D66</f>
        <v>5.6</v>
      </c>
      <c r="E400" s="31">
        <f>LNOP!E66</f>
        <v>1280</v>
      </c>
      <c r="F400" s="16" t="str">
        <f>LNOP!F66</f>
        <v>AIS</v>
      </c>
      <c r="G400" s="58">
        <f>LNOP!G66</f>
        <v>8</v>
      </c>
      <c r="H400" s="53">
        <f>LNOP!H66</f>
        <v>5.45</v>
      </c>
      <c r="I400" s="16">
        <f>LNOP!I66</f>
        <v>546</v>
      </c>
      <c r="J400" s="16">
        <f>LNOP!J66</f>
        <v>163</v>
      </c>
      <c r="K400" s="18" t="str">
        <f>LNOP!K66</f>
        <v>52 di</v>
      </c>
      <c r="L400" s="25">
        <f>LNOP!L66</f>
        <v>2518.3000000000002</v>
      </c>
      <c r="M400" s="36" t="str">
        <f>LNOP!M66</f>
        <v>.16-04</v>
      </c>
      <c r="N400" s="25">
        <f>LNOP!N66</f>
        <v>3315.8333333333335</v>
      </c>
      <c r="O400" s="73" t="str">
        <f>LNOP!O66</f>
        <v>.16-04</v>
      </c>
      <c r="P400" s="25">
        <f>LNOP!P66</f>
        <v>3650</v>
      </c>
      <c r="Q400" s="36" t="str">
        <f>LNOP!Q66</f>
        <v>.13-04</v>
      </c>
      <c r="R400" s="31" t="str">
        <f>LNOP!R66</f>
        <v>b&amp;h</v>
      </c>
      <c r="S400" s="25">
        <f>LNOP!S66</f>
        <v>4560</v>
      </c>
      <c r="T400" s="36" t="str">
        <f>LNOP!T66</f>
        <v>.12-04</v>
      </c>
      <c r="U400" s="31" t="str">
        <f>LNOP!U66</f>
        <v>keh</v>
      </c>
    </row>
    <row r="401" spans="1:23">
      <c r="A401" s="144" t="str">
        <f>CZ.V!A65</f>
        <v>Carl Zeiss</v>
      </c>
      <c r="B401" s="22" t="str">
        <f>CZ.V!B65</f>
        <v>Tele-Apotessar T* 800/8 CY</v>
      </c>
      <c r="C401" s="27">
        <f>CZ.V!C65</f>
        <v>800</v>
      </c>
      <c r="D401" s="41">
        <f>CZ.V!D65</f>
        <v>8</v>
      </c>
      <c r="E401" s="33">
        <f>CZ.V!E65</f>
        <v>1280</v>
      </c>
      <c r="F401" s="27" t="str">
        <f>CZ.V!F65</f>
        <v>CY</v>
      </c>
      <c r="G401" s="55">
        <f>CZ.V!G65</f>
        <v>4</v>
      </c>
      <c r="H401" s="56">
        <f>CZ.V!H65</f>
        <v>3.25</v>
      </c>
      <c r="I401" s="27">
        <f>CZ.V!I65</f>
        <v>505</v>
      </c>
      <c r="J401" s="27">
        <f>CZ.V!J65</f>
        <v>128.5</v>
      </c>
      <c r="K401" s="41" t="str">
        <f>CZ.V!K65</f>
        <v>c.o.</v>
      </c>
      <c r="L401" s="26">
        <f>CZ.V!L65</f>
        <v>0</v>
      </c>
      <c r="M401" s="24" t="str">
        <f>CZ.V!M65</f>
        <v xml:space="preserve"> </v>
      </c>
      <c r="N401" s="26">
        <f>CZ.V!N65</f>
        <v>0</v>
      </c>
      <c r="O401" s="124" t="str">
        <f>CZ.V!O65</f>
        <v xml:space="preserve"> </v>
      </c>
      <c r="P401" s="26" t="str">
        <f>CZ.V!P65</f>
        <v xml:space="preserve"> </v>
      </c>
      <c r="Q401" s="24" t="str">
        <f>CZ.V!Q65</f>
        <v xml:space="preserve"> </v>
      </c>
      <c r="R401" s="33" t="str">
        <f>CZ.V!R65</f>
        <v xml:space="preserve"> </v>
      </c>
      <c r="S401" s="26" t="str">
        <f>CZ.V!S65</f>
        <v xml:space="preserve"> </v>
      </c>
      <c r="T401" s="24" t="str">
        <f>CZ.V!T65</f>
        <v xml:space="preserve"> </v>
      </c>
      <c r="U401" s="33" t="str">
        <f>CZ.V!U65</f>
        <v xml:space="preserve"> </v>
      </c>
    </row>
    <row r="402" spans="1:23">
      <c r="A402" s="143" t="str">
        <f>EFp!A69</f>
        <v>Canon</v>
      </c>
      <c r="B402" s="11" t="str">
        <f>EFp!B69</f>
        <v xml:space="preserve">EF 1200/5.6 L USM </v>
      </c>
      <c r="C402" s="16">
        <f>EFp!C69</f>
        <v>1200</v>
      </c>
      <c r="D402" s="18">
        <f>EFp!D69</f>
        <v>5.6</v>
      </c>
      <c r="E402" s="31">
        <f>EFp!E69</f>
        <v>1920</v>
      </c>
      <c r="F402" s="16" t="str">
        <f>EFp!F69</f>
        <v>EF</v>
      </c>
      <c r="G402" s="58">
        <f>EFp!G69</f>
        <v>14</v>
      </c>
      <c r="H402" s="53">
        <f>EFp!H69</f>
        <v>16.5</v>
      </c>
      <c r="I402" s="16">
        <f>EFp!I69</f>
        <v>836</v>
      </c>
      <c r="J402" s="16">
        <f>EFp!J69</f>
        <v>228</v>
      </c>
      <c r="K402" s="18" t="str">
        <f>EFp!K69</f>
        <v>48 di</v>
      </c>
      <c r="L402" s="25">
        <f>EFp!L69</f>
        <v>0</v>
      </c>
      <c r="M402" s="36" t="str">
        <f>EFp!M69</f>
        <v xml:space="preserve"> </v>
      </c>
      <c r="N402" s="25">
        <f>EFp!N69</f>
        <v>0</v>
      </c>
      <c r="O402" s="73" t="str">
        <f>EFp!O69</f>
        <v xml:space="preserve"> </v>
      </c>
      <c r="P402" s="25" t="str">
        <f>EFp!P69</f>
        <v>180k</v>
      </c>
      <c r="Q402" s="36" t="str">
        <f>EFp!Q69</f>
        <v>.15-04</v>
      </c>
      <c r="R402" s="31" t="str">
        <f>EFp!R69</f>
        <v>b&amp;h</v>
      </c>
      <c r="S402" s="25" t="str">
        <f>EFp!S69</f>
        <v>180x</v>
      </c>
      <c r="T402" s="36" t="str">
        <f>EFp!T69</f>
        <v>.16-01</v>
      </c>
      <c r="U402" s="31" t="str">
        <f>EFp!U69</f>
        <v>b&amp;h</v>
      </c>
    </row>
    <row r="403" spans="1:23">
      <c r="A403" s="144" t="str">
        <f>LNOP!A147</f>
        <v>Pentax</v>
      </c>
      <c r="B403" s="22" t="str">
        <f>LNOP!B147</f>
        <v>SMC Pentax-A* ED 1200/8 IF</v>
      </c>
      <c r="C403" s="27">
        <f>LNOP!C147</f>
        <v>1200</v>
      </c>
      <c r="D403" s="41">
        <f>LNOP!D147</f>
        <v>8</v>
      </c>
      <c r="E403" s="33">
        <f>LNOP!E147</f>
        <v>1920</v>
      </c>
      <c r="F403" s="27" t="str">
        <f>LNOP!F147</f>
        <v>KA</v>
      </c>
      <c r="G403" s="55">
        <f>LNOP!G147</f>
        <v>8</v>
      </c>
      <c r="H403" s="56">
        <f>LNOP!H147</f>
        <v>8.58</v>
      </c>
      <c r="I403" s="27">
        <f>LNOP!I147</f>
        <v>684</v>
      </c>
      <c r="J403" s="27">
        <f>LNOP!J147</f>
        <v>170</v>
      </c>
      <c r="K403" s="41">
        <f>LNOP!K147</f>
        <v>49</v>
      </c>
      <c r="L403" s="26">
        <f>LNOP!L147</f>
        <v>0</v>
      </c>
      <c r="M403" s="24" t="str">
        <f>LNOP!M147</f>
        <v xml:space="preserve"> </v>
      </c>
      <c r="N403" s="26">
        <f>LNOP!N147</f>
        <v>0</v>
      </c>
      <c r="O403" s="124" t="str">
        <f>LNOP!O147</f>
        <v xml:space="preserve"> </v>
      </c>
      <c r="P403" s="26" t="str">
        <f>LNOP!P147</f>
        <v xml:space="preserve"> </v>
      </c>
      <c r="Q403" s="24" t="str">
        <f>LNOP!Q147</f>
        <v xml:space="preserve"> </v>
      </c>
      <c r="R403" s="33" t="str">
        <f>LNOP!R147</f>
        <v xml:space="preserve"> </v>
      </c>
      <c r="S403" s="26" t="str">
        <f>LNOP!S147</f>
        <v xml:space="preserve"> </v>
      </c>
      <c r="T403" s="24" t="str">
        <f>LNOP!T147</f>
        <v xml:space="preserve"> </v>
      </c>
      <c r="U403" s="33" t="str">
        <f>LNOP!U147</f>
        <v xml:space="preserve"> </v>
      </c>
    </row>
    <row r="405" spans="1:23" s="37" customFormat="1" ht="12.6" customHeight="1">
      <c r="A405" s="30"/>
      <c r="B405" s="45"/>
      <c r="C405" s="49"/>
      <c r="D405" s="21"/>
      <c r="E405" s="49"/>
      <c r="F405" s="49"/>
      <c r="G405" s="50"/>
      <c r="H405" s="50"/>
      <c r="I405" s="50"/>
      <c r="J405" s="50"/>
      <c r="K405" s="128"/>
      <c r="L405" s="51"/>
      <c r="M405" s="28"/>
      <c r="N405" s="127" t="s">
        <v>17</v>
      </c>
      <c r="O405" s="28"/>
      <c r="P405" s="134"/>
      <c r="Q405" s="90"/>
      <c r="R405" s="90" t="s">
        <v>18</v>
      </c>
      <c r="S405" s="28"/>
      <c r="T405" s="28"/>
      <c r="U405" s="29"/>
      <c r="W405" s="18"/>
    </row>
    <row r="406" spans="1:23" s="37" customFormat="1" ht="12.6" customHeight="1">
      <c r="B406" s="63"/>
      <c r="C406" s="36" t="s">
        <v>6</v>
      </c>
      <c r="D406" s="36" t="s">
        <v>11</v>
      </c>
      <c r="E406" s="36" t="s">
        <v>760</v>
      </c>
      <c r="F406" s="66" t="s">
        <v>13</v>
      </c>
      <c r="G406" s="58" t="s">
        <v>277</v>
      </c>
      <c r="H406" s="53" t="s">
        <v>7</v>
      </c>
      <c r="I406" s="16" t="s">
        <v>325</v>
      </c>
      <c r="J406" s="16" t="s">
        <v>326</v>
      </c>
      <c r="K406" s="31" t="s">
        <v>327</v>
      </c>
      <c r="L406" s="32" t="s">
        <v>506</v>
      </c>
      <c r="M406" s="33"/>
      <c r="N406" s="34" t="s">
        <v>19</v>
      </c>
      <c r="O406" s="27"/>
      <c r="P406" s="54"/>
      <c r="Q406" s="28" t="s">
        <v>507</v>
      </c>
      <c r="R406" s="29"/>
      <c r="S406" s="127"/>
      <c r="T406" s="33" t="s">
        <v>9</v>
      </c>
      <c r="U406" s="33"/>
      <c r="W406" s="18"/>
    </row>
    <row r="407" spans="1:23" s="37" customFormat="1" ht="12.6" customHeight="1">
      <c r="A407" s="21" t="s">
        <v>1095</v>
      </c>
      <c r="B407" s="64"/>
      <c r="C407" s="24" t="s">
        <v>20</v>
      </c>
      <c r="D407" s="24" t="s">
        <v>16</v>
      </c>
      <c r="E407" s="24" t="s">
        <v>20</v>
      </c>
      <c r="F407" s="65" t="s">
        <v>16</v>
      </c>
      <c r="G407" s="55" t="s">
        <v>37</v>
      </c>
      <c r="H407" s="56" t="s">
        <v>21</v>
      </c>
      <c r="I407" s="27" t="s">
        <v>20</v>
      </c>
      <c r="J407" s="27" t="s">
        <v>20</v>
      </c>
      <c r="K407" s="33" t="s">
        <v>20</v>
      </c>
      <c r="L407" s="26" t="s">
        <v>22</v>
      </c>
      <c r="M407" s="33" t="s">
        <v>23</v>
      </c>
      <c r="N407" s="27" t="s">
        <v>22</v>
      </c>
      <c r="O407" s="33" t="s">
        <v>23</v>
      </c>
      <c r="P407" s="26" t="s">
        <v>22</v>
      </c>
      <c r="Q407" s="27" t="s">
        <v>23</v>
      </c>
      <c r="R407" s="33" t="s">
        <v>24</v>
      </c>
      <c r="S407" s="35" t="s">
        <v>22</v>
      </c>
      <c r="T407" s="28" t="s">
        <v>23</v>
      </c>
      <c r="U407" s="29" t="s">
        <v>24</v>
      </c>
      <c r="W407" s="18"/>
    </row>
    <row r="408" spans="1:23">
      <c r="A408" s="143" t="str">
        <f>LNOP!A149</f>
        <v>Rokinon</v>
      </c>
      <c r="B408" s="11" t="str">
        <f>LNOP!B149</f>
        <v>10/2.8 ED</v>
      </c>
      <c r="C408" s="16">
        <f>LNOP!C149</f>
        <v>10</v>
      </c>
      <c r="D408" s="18">
        <f>LNOP!D149</f>
        <v>2.8</v>
      </c>
      <c r="E408" s="31">
        <f>LNOP!E149</f>
        <v>16</v>
      </c>
      <c r="F408" s="16" t="str">
        <f>LNOP!F149</f>
        <v>EFsx</v>
      </c>
      <c r="G408" s="58">
        <f>LNOP!G149</f>
        <v>0.24</v>
      </c>
      <c r="H408" s="53">
        <f>LNOP!H149</f>
        <v>0.59</v>
      </c>
      <c r="I408" s="16">
        <f>LNOP!I149</f>
        <v>79.2</v>
      </c>
      <c r="J408" s="16">
        <f>LNOP!J149</f>
        <v>86</v>
      </c>
      <c r="K408" s="18" t="str">
        <f>LNOP!K149</f>
        <v>x</v>
      </c>
      <c r="L408" s="25">
        <f>LNOP!L149</f>
        <v>0</v>
      </c>
      <c r="M408" s="36" t="str">
        <f>LNOP!M149</f>
        <v xml:space="preserve"> </v>
      </c>
      <c r="N408" s="25">
        <f>LNOP!N149</f>
        <v>0</v>
      </c>
      <c r="O408" s="73" t="str">
        <f>LNOP!O149</f>
        <v xml:space="preserve"> </v>
      </c>
      <c r="P408" s="25" t="str">
        <f>LNOP!P149</f>
        <v xml:space="preserve"> </v>
      </c>
      <c r="Q408" s="36" t="str">
        <f>LNOP!Q149</f>
        <v xml:space="preserve"> </v>
      </c>
      <c r="R408" s="31" t="str">
        <f>LNOP!R149</f>
        <v xml:space="preserve"> </v>
      </c>
      <c r="S408" s="25">
        <f>LNOP!S149</f>
        <v>402</v>
      </c>
      <c r="T408" s="36" t="str">
        <f>LNOP!T149</f>
        <v>.14-11</v>
      </c>
      <c r="U408" s="31" t="str">
        <f>LNOP!U149</f>
        <v>b&amp;h</v>
      </c>
    </row>
    <row r="409" spans="1:23">
      <c r="A409" s="143" t="str">
        <f>LNOP!A151</f>
        <v>Rokinon</v>
      </c>
      <c r="B409" s="11" t="str">
        <f>LNOP!B151</f>
        <v>16/2 ED UMC</v>
      </c>
      <c r="C409" s="16">
        <f>LNOP!C151</f>
        <v>16</v>
      </c>
      <c r="D409" s="18">
        <f>LNOP!D151</f>
        <v>2</v>
      </c>
      <c r="E409" s="31">
        <f>LNOP!E151</f>
        <v>25.6</v>
      </c>
      <c r="F409" s="16" t="str">
        <f>LNOP!F151</f>
        <v>EFsx</v>
      </c>
      <c r="G409" s="58">
        <f>LNOP!G151</f>
        <v>0.2</v>
      </c>
      <c r="H409" s="53">
        <f>LNOP!H151</f>
        <v>0.58299999999999996</v>
      </c>
      <c r="I409" s="16">
        <f>LNOP!I151</f>
        <v>89.4</v>
      </c>
      <c r="J409" s="16">
        <f>LNOP!J151</f>
        <v>83</v>
      </c>
      <c r="K409" s="18">
        <f>LNOP!K151</f>
        <v>77</v>
      </c>
      <c r="L409" s="25">
        <f>LNOP!L151</f>
        <v>0</v>
      </c>
      <c r="M409" s="36" t="str">
        <f>LNOP!M151</f>
        <v xml:space="preserve"> </v>
      </c>
      <c r="N409" s="25">
        <f>LNOP!N151</f>
        <v>313</v>
      </c>
      <c r="O409" s="73" t="str">
        <f>LNOP!O151</f>
        <v>.16-01</v>
      </c>
      <c r="P409" s="25" t="str">
        <f>LNOP!P151</f>
        <v xml:space="preserve"> </v>
      </c>
      <c r="Q409" s="36" t="str">
        <f>LNOP!Q151</f>
        <v xml:space="preserve"> </v>
      </c>
      <c r="R409" s="31" t="str">
        <f>LNOP!R151</f>
        <v xml:space="preserve"> </v>
      </c>
      <c r="S409" s="25">
        <f>LNOP!S151</f>
        <v>370</v>
      </c>
      <c r="T409" s="36" t="str">
        <f>LNOP!T151</f>
        <v>.14-11</v>
      </c>
      <c r="U409" s="31" t="str">
        <f>LNOP!U151</f>
        <v>b&amp;h</v>
      </c>
    </row>
    <row r="410" spans="1:23">
      <c r="A410" s="143" t="str">
        <f>EFp!A71</f>
        <v>Canon</v>
      </c>
      <c r="B410" s="11" t="str">
        <f>EFp!B71</f>
        <v>EF-S 24/2.8 STM</v>
      </c>
      <c r="C410" s="16">
        <f>EFp!C71</f>
        <v>24</v>
      </c>
      <c r="D410" s="18">
        <f>EFp!D71</f>
        <v>2.8</v>
      </c>
      <c r="E410" s="31">
        <f>EFp!E71</f>
        <v>38.400000000000006</v>
      </c>
      <c r="F410" s="16" t="str">
        <f>EFp!F71</f>
        <v>EF-S</v>
      </c>
      <c r="G410" s="58">
        <f>EFp!G71</f>
        <v>0.16</v>
      </c>
      <c r="H410" s="53">
        <f>EFp!H71</f>
        <v>0.125</v>
      </c>
      <c r="I410" s="16">
        <f>EFp!I71</f>
        <v>22.8</v>
      </c>
      <c r="J410" s="16">
        <f>EFp!J71</f>
        <v>68.2</v>
      </c>
      <c r="K410" s="18">
        <f>EFp!K71</f>
        <v>52</v>
      </c>
      <c r="L410" s="25">
        <f>EFp!L71</f>
        <v>107.45454545454545</v>
      </c>
      <c r="M410" s="36" t="str">
        <f>EFp!M71</f>
        <v>.16-05</v>
      </c>
      <c r="N410" s="25">
        <f>EFp!N71</f>
        <v>125</v>
      </c>
      <c r="O410" s="73" t="str">
        <f>EFp!O71</f>
        <v>.16-05</v>
      </c>
      <c r="P410" s="25">
        <f>EFp!P71</f>
        <v>106.4</v>
      </c>
      <c r="Q410" s="36" t="str">
        <f>EFp!Q71</f>
        <v>.16-01</v>
      </c>
      <c r="R410" s="31" t="str">
        <f>EFp!R71</f>
        <v>camtec</v>
      </c>
      <c r="S410" s="25">
        <f>EFp!S71</f>
        <v>115</v>
      </c>
      <c r="T410" s="36" t="str">
        <f>EFp!T71</f>
        <v>.15-11</v>
      </c>
      <c r="U410" s="31" t="str">
        <f>EFp!U71</f>
        <v>keh</v>
      </c>
    </row>
    <row r="411" spans="1:23">
      <c r="A411" s="144" t="str">
        <f>EFp!A72</f>
        <v>Canon</v>
      </c>
      <c r="B411" s="22" t="str">
        <f>EFp!B72</f>
        <v>EF-S 60/2.8 Macro USM</v>
      </c>
      <c r="C411" s="27">
        <f>EFp!C72</f>
        <v>60</v>
      </c>
      <c r="D411" s="41">
        <f>EFp!D72</f>
        <v>2.8</v>
      </c>
      <c r="E411" s="33">
        <f>EFp!E72</f>
        <v>96</v>
      </c>
      <c r="F411" s="27" t="str">
        <f>EFp!F72</f>
        <v>EF-S</v>
      </c>
      <c r="G411" s="55">
        <f>EFp!G72</f>
        <v>0.2</v>
      </c>
      <c r="H411" s="56">
        <f>EFp!H72</f>
        <v>0.33500000000000002</v>
      </c>
      <c r="I411" s="27">
        <f>EFp!I72</f>
        <v>73</v>
      </c>
      <c r="J411" s="27">
        <f>EFp!J72</f>
        <v>69.8</v>
      </c>
      <c r="K411" s="41">
        <f>EFp!K72</f>
        <v>52</v>
      </c>
      <c r="L411" s="26">
        <f>EFp!L72</f>
        <v>225.09090909090909</v>
      </c>
      <c r="M411" s="24" t="str">
        <f>EFp!M72</f>
        <v>.16-05</v>
      </c>
      <c r="N411" s="26">
        <f>EFp!N72</f>
        <v>292.60000000000002</v>
      </c>
      <c r="O411" s="124" t="str">
        <f>EFp!O72</f>
        <v>.16-05</v>
      </c>
      <c r="P411" s="26">
        <f>EFp!P72</f>
        <v>350</v>
      </c>
      <c r="Q411" s="24" t="str">
        <f>EFp!Q72</f>
        <v>.15-11</v>
      </c>
      <c r="R411" s="33" t="str">
        <f>EFp!R72</f>
        <v>ado</v>
      </c>
      <c r="S411" s="26">
        <f>EFp!S72</f>
        <v>420</v>
      </c>
      <c r="T411" s="24" t="str">
        <f>EFp!T72</f>
        <v>.16-01</v>
      </c>
      <c r="U411" s="33" t="str">
        <f>EFp!U72</f>
        <v>keh</v>
      </c>
    </row>
    <row r="414" spans="1:23">
      <c r="A414" s="21" t="s">
        <v>1096</v>
      </c>
      <c r="B414" s="304"/>
      <c r="C414" s="304"/>
      <c r="D414" s="304"/>
      <c r="E414" s="304"/>
      <c r="F414" s="304"/>
      <c r="G414" s="304"/>
      <c r="H414" s="304"/>
      <c r="I414" s="304"/>
      <c r="J414" s="304"/>
      <c r="K414" s="304"/>
      <c r="L414" s="304"/>
      <c r="M414" s="304"/>
      <c r="N414" s="304"/>
      <c r="O414" s="304"/>
      <c r="P414" s="304"/>
      <c r="Q414" s="304"/>
      <c r="R414" s="304"/>
      <c r="S414" s="304"/>
      <c r="T414" s="304"/>
      <c r="U414" s="304"/>
    </row>
    <row r="415" spans="1:23">
      <c r="A415" s="143" t="str">
        <f>XF!A35</f>
        <v>Rokinon</v>
      </c>
      <c r="B415" s="11" t="str">
        <f>XF!B35</f>
        <v>NCS 10/2.8 ED</v>
      </c>
      <c r="C415" s="16">
        <f>XF!C35</f>
        <v>10</v>
      </c>
      <c r="D415" s="18">
        <f>XF!D35</f>
        <v>2.8</v>
      </c>
      <c r="E415" s="31">
        <f>XF!E35</f>
        <v>15</v>
      </c>
      <c r="F415" s="16" t="str">
        <f>XF!F35</f>
        <v>X</v>
      </c>
      <c r="G415" s="58">
        <f>XF!G35</f>
        <v>0.24</v>
      </c>
      <c r="H415" s="53">
        <f>XF!H35</f>
        <v>0.625</v>
      </c>
      <c r="I415" s="16">
        <f>XF!I35</f>
        <v>105.5</v>
      </c>
      <c r="J415" s="16">
        <f>XF!J35</f>
        <v>86</v>
      </c>
      <c r="K415" s="18" t="str">
        <f>XF!K35</f>
        <v>x</v>
      </c>
      <c r="L415" s="25">
        <f>XF!L35</f>
        <v>0</v>
      </c>
      <c r="M415" s="36" t="str">
        <f>XF!M35</f>
        <v xml:space="preserve"> </v>
      </c>
      <c r="N415" s="25">
        <f>XF!N35</f>
        <v>0</v>
      </c>
      <c r="O415" s="73" t="str">
        <f>XF!O35</f>
        <v xml:space="preserve"> </v>
      </c>
      <c r="P415" s="25" t="str">
        <f>XF!P35</f>
        <v xml:space="preserve"> </v>
      </c>
      <c r="Q415" s="36" t="str">
        <f>XF!Q35</f>
        <v xml:space="preserve"> </v>
      </c>
      <c r="R415" s="31" t="str">
        <f>XF!R35</f>
        <v xml:space="preserve"> </v>
      </c>
      <c r="S415" s="25">
        <f>XF!S35</f>
        <v>530</v>
      </c>
      <c r="T415" s="36" t="str">
        <f>XF!T35</f>
        <v>.14-07</v>
      </c>
      <c r="U415" s="31" t="str">
        <f>XF!U35</f>
        <v>b&amp;h</v>
      </c>
    </row>
    <row r="416" spans="1:23">
      <c r="A416" s="143" t="str">
        <f>XF!A31</f>
        <v>Zeiss</v>
      </c>
      <c r="B416" s="11" t="str">
        <f>XF!B31</f>
        <v>Touit 12/2.8</v>
      </c>
      <c r="C416" s="16">
        <f>XF!C31</f>
        <v>12</v>
      </c>
      <c r="D416" s="18">
        <f>XF!D31</f>
        <v>2.8</v>
      </c>
      <c r="E416" s="31">
        <f>XF!E31</f>
        <v>18</v>
      </c>
      <c r="F416" s="16" t="str">
        <f>XF!F31</f>
        <v>X</v>
      </c>
      <c r="G416" s="58">
        <f>XF!G31</f>
        <v>0.18</v>
      </c>
      <c r="H416" s="53">
        <f>XF!H31</f>
        <v>0.26</v>
      </c>
      <c r="I416" s="16">
        <f>XF!I31</f>
        <v>68</v>
      </c>
      <c r="J416" s="16" t="str">
        <f>XF!J31</f>
        <v>88*</v>
      </c>
      <c r="K416" s="18">
        <f>XF!K31</f>
        <v>67</v>
      </c>
      <c r="L416" s="25">
        <f>XF!L31</f>
        <v>524.62916666666672</v>
      </c>
      <c r="M416" s="36" t="str">
        <f>XF!M31</f>
        <v>.16-05</v>
      </c>
      <c r="N416" s="25">
        <f>XF!N31</f>
        <v>626.875</v>
      </c>
      <c r="O416" s="73" t="str">
        <f>XF!O31</f>
        <v>.16-05</v>
      </c>
      <c r="P416" s="25" t="str">
        <f>XF!P31</f>
        <v xml:space="preserve"> </v>
      </c>
      <c r="Q416" s="36" t="str">
        <f>XF!Q31</f>
        <v xml:space="preserve"> </v>
      </c>
      <c r="R416" s="31" t="str">
        <f>XF!R31</f>
        <v xml:space="preserve"> </v>
      </c>
      <c r="S416" s="25">
        <f>XF!S31</f>
        <v>600</v>
      </c>
      <c r="T416" s="36" t="str">
        <f>XF!T31</f>
        <v>.16-05</v>
      </c>
      <c r="U416" s="31" t="str">
        <f>XF!U31</f>
        <v>keh</v>
      </c>
    </row>
    <row r="417" spans="1:21">
      <c r="A417" s="143" t="str">
        <f>XF!A36</f>
        <v>Rokinon</v>
      </c>
      <c r="B417" s="11" t="str">
        <f>XF!B36</f>
        <v xml:space="preserve">NCS 12/2 </v>
      </c>
      <c r="C417" s="16">
        <f>XF!C36</f>
        <v>12</v>
      </c>
      <c r="D417" s="18">
        <f>XF!D36</f>
        <v>2</v>
      </c>
      <c r="E417" s="31">
        <f>XF!E36</f>
        <v>18</v>
      </c>
      <c r="F417" s="16" t="str">
        <f>XF!F36</f>
        <v>X</v>
      </c>
      <c r="G417" s="58">
        <f>XF!G36</f>
        <v>0.2</v>
      </c>
      <c r="H417" s="53">
        <f>XF!H36</f>
        <v>0.26</v>
      </c>
      <c r="I417" s="16">
        <f>XF!I36</f>
        <v>59.4</v>
      </c>
      <c r="J417" s="16">
        <f>XF!J36</f>
        <v>72.5</v>
      </c>
      <c r="K417" s="18">
        <f>XF!K36</f>
        <v>67</v>
      </c>
      <c r="L417" s="25">
        <f>XF!L36</f>
        <v>259.8</v>
      </c>
      <c r="M417" s="36" t="str">
        <f>XF!M36</f>
        <v>.16-05</v>
      </c>
      <c r="N417" s="25">
        <f>XF!N36</f>
        <v>282.66666666666669</v>
      </c>
      <c r="O417" s="73" t="str">
        <f>XF!O36</f>
        <v>.16-05</v>
      </c>
      <c r="P417" s="25" t="str">
        <f>XF!P36</f>
        <v xml:space="preserve"> </v>
      </c>
      <c r="Q417" s="36" t="str">
        <f>XF!Q36</f>
        <v xml:space="preserve"> </v>
      </c>
      <c r="R417" s="31" t="str">
        <f>XF!R36</f>
        <v xml:space="preserve"> </v>
      </c>
      <c r="S417" s="25">
        <f>XF!S36</f>
        <v>400</v>
      </c>
      <c r="T417" s="36" t="str">
        <f>XF!T36</f>
        <v>.14-07</v>
      </c>
      <c r="U417" s="31" t="str">
        <f>XF!U36</f>
        <v>b&amp;h</v>
      </c>
    </row>
    <row r="418" spans="1:21">
      <c r="A418" s="143" t="str">
        <f>XF!A39</f>
        <v>Voigtlander</v>
      </c>
      <c r="B418" s="11" t="str">
        <f>XF!B39</f>
        <v xml:space="preserve">12/5.6 ASPH UW Heliar </v>
      </c>
      <c r="C418" s="16">
        <f>XF!C39</f>
        <v>12</v>
      </c>
      <c r="D418" s="18">
        <f>XF!D39</f>
        <v>5.6</v>
      </c>
      <c r="E418" s="31">
        <f>XF!E39</f>
        <v>18</v>
      </c>
      <c r="F418" s="16" t="str">
        <f>XF!F39</f>
        <v>LTM</v>
      </c>
      <c r="G418" s="58">
        <f>XF!G39</f>
        <v>0.3</v>
      </c>
      <c r="H418" s="53">
        <f>XF!H39</f>
        <v>0.16200000000000001</v>
      </c>
      <c r="I418" s="16">
        <f>XF!I39</f>
        <v>38.200000000000003</v>
      </c>
      <c r="J418" s="16">
        <f>XF!J39</f>
        <v>50.5</v>
      </c>
      <c r="K418" s="18" t="str">
        <f>XF!K39</f>
        <v>77*</v>
      </c>
      <c r="L418" s="25">
        <f>XF!L39</f>
        <v>468.75</v>
      </c>
      <c r="M418" s="36" t="str">
        <f>XF!M39</f>
        <v>.15-03</v>
      </c>
      <c r="N418" s="25">
        <f>XF!N39</f>
        <v>585.77777777777783</v>
      </c>
      <c r="O418" s="73" t="str">
        <f>XF!O39</f>
        <v>.16-01</v>
      </c>
      <c r="P418" s="25">
        <f>XF!P39</f>
        <v>400</v>
      </c>
      <c r="Q418" s="36" t="str">
        <f>XF!Q39</f>
        <v>.16-01</v>
      </c>
      <c r="R418" s="31" t="str">
        <f>XF!R39</f>
        <v>b&amp;h</v>
      </c>
      <c r="S418" s="25">
        <f>XF!S39</f>
        <v>607</v>
      </c>
      <c r="T418" s="36" t="str">
        <f>XF!T39</f>
        <v>.13-02</v>
      </c>
      <c r="U418" s="31" t="str">
        <f>XF!U39</f>
        <v>b&amp;h</v>
      </c>
    </row>
    <row r="419" spans="1:21">
      <c r="A419" s="143" t="str">
        <f>XF!A40</f>
        <v>Voigtlander</v>
      </c>
      <c r="B419" s="11" t="str">
        <f>XF!B40</f>
        <v>12/5.6 ASPH UW Heliar II</v>
      </c>
      <c r="C419" s="16">
        <f>XF!C40</f>
        <v>12</v>
      </c>
      <c r="D419" s="18">
        <f>XF!D40</f>
        <v>5.6</v>
      </c>
      <c r="E419" s="31">
        <f>XF!E40</f>
        <v>18</v>
      </c>
      <c r="F419" s="16" t="str">
        <f>XF!F40</f>
        <v>LM</v>
      </c>
      <c r="G419" s="58">
        <f>XF!G40</f>
        <v>0.5</v>
      </c>
      <c r="H419" s="53">
        <f>XF!H40</f>
        <v>0.156</v>
      </c>
      <c r="I419" s="16">
        <f>XF!I40</f>
        <v>42.5</v>
      </c>
      <c r="J419" s="16">
        <f>XF!J40</f>
        <v>74.599999999999994</v>
      </c>
      <c r="K419" s="18">
        <f>XF!K40</f>
        <v>67</v>
      </c>
      <c r="L419" s="25">
        <f>XF!L40</f>
        <v>496.75</v>
      </c>
      <c r="M419" s="36" t="str">
        <f>XF!M40</f>
        <v>.16-05</v>
      </c>
      <c r="N419" s="25">
        <f>XF!N40</f>
        <v>670.14285714285711</v>
      </c>
      <c r="O419" s="73" t="str">
        <f>XF!O40</f>
        <v>.16-03</v>
      </c>
      <c r="P419" s="25">
        <f>XF!P40</f>
        <v>700</v>
      </c>
      <c r="Q419" s="36" t="str">
        <f>XF!Q40</f>
        <v>.15-04</v>
      </c>
      <c r="R419" s="31" t="str">
        <f>XF!R40</f>
        <v>ado</v>
      </c>
      <c r="S419" s="25">
        <f>XF!S40</f>
        <v>871</v>
      </c>
      <c r="T419" s="36" t="str">
        <f>XF!T40</f>
        <v>.13-04</v>
      </c>
      <c r="U419" s="31" t="str">
        <f>XF!U40</f>
        <v>camtec</v>
      </c>
    </row>
    <row r="420" spans="1:21">
      <c r="A420" s="143" t="str">
        <f>XF!A6</f>
        <v>Fujifilm</v>
      </c>
      <c r="B420" s="11" t="str">
        <f>XF!B6</f>
        <v>Fujinon XF 14/2.8 R</v>
      </c>
      <c r="C420" s="16">
        <f>XF!C6</f>
        <v>14</v>
      </c>
      <c r="D420" s="18">
        <f>XF!D6</f>
        <v>2.8</v>
      </c>
      <c r="E420" s="31">
        <f>XF!E6</f>
        <v>21</v>
      </c>
      <c r="F420" s="16" t="str">
        <f>XF!F6</f>
        <v>X</v>
      </c>
      <c r="G420" s="58">
        <f>XF!G6</f>
        <v>0.18</v>
      </c>
      <c r="H420" s="53">
        <f>XF!H6</f>
        <v>0.23499999999999999</v>
      </c>
      <c r="I420" s="16">
        <f>XF!I6</f>
        <v>58.4</v>
      </c>
      <c r="J420" s="16">
        <f>XF!J6</f>
        <v>65</v>
      </c>
      <c r="K420" s="18">
        <f>XF!K6</f>
        <v>58</v>
      </c>
      <c r="L420" s="25">
        <f>XF!L6</f>
        <v>457.1</v>
      </c>
      <c r="M420" s="36" t="str">
        <f>XF!M6</f>
        <v>.16-05</v>
      </c>
      <c r="N420" s="25">
        <f>XF!N6</f>
        <v>559.42857142857144</v>
      </c>
      <c r="O420" s="73" t="str">
        <f>XF!O6</f>
        <v>.16-05</v>
      </c>
      <c r="P420" s="25">
        <f>XF!P6</f>
        <v>645</v>
      </c>
      <c r="Q420" s="36" t="str">
        <f>XF!Q6</f>
        <v>.14-03</v>
      </c>
      <c r="R420" s="31" t="str">
        <f>XF!R6</f>
        <v>keh</v>
      </c>
      <c r="S420" s="25">
        <f>XF!S6</f>
        <v>560</v>
      </c>
      <c r="T420" s="36" t="str">
        <f>XF!T6</f>
        <v>.16-01</v>
      </c>
      <c r="U420" s="31" t="str">
        <f>XF!U6</f>
        <v>LA</v>
      </c>
    </row>
    <row r="421" spans="1:21">
      <c r="A421" s="143" t="str">
        <f>XF!A41</f>
        <v>Voigtlander</v>
      </c>
      <c r="B421" s="11" t="str">
        <f>XF!B41</f>
        <v>15/4.5 ASPH SW Heliar DS</v>
      </c>
      <c r="C421" s="16">
        <f>XF!C41</f>
        <v>15</v>
      </c>
      <c r="D421" s="18">
        <f>XF!D41</f>
        <v>4.5</v>
      </c>
      <c r="E421" s="31">
        <f>XF!E41</f>
        <v>22.5</v>
      </c>
      <c r="F421" s="16" t="str">
        <f>XF!F41</f>
        <v>LTM</v>
      </c>
      <c r="G421" s="58">
        <f>XF!G41</f>
        <v>0.3</v>
      </c>
      <c r="H421" s="53">
        <f>XF!H41</f>
        <v>0.105</v>
      </c>
      <c r="I421" s="16">
        <f>XF!I41</f>
        <v>30.7</v>
      </c>
      <c r="J421" s="16">
        <f>XF!J41</f>
        <v>49.6</v>
      </c>
      <c r="K421" s="18" t="str">
        <f>XF!K41</f>
        <v>77*</v>
      </c>
      <c r="L421" s="25">
        <f>XF!L41</f>
        <v>345.5</v>
      </c>
      <c r="M421" s="36" t="str">
        <f>XF!M41</f>
        <v>.16-05</v>
      </c>
      <c r="N421" s="25">
        <f>XF!N41</f>
        <v>417.6</v>
      </c>
      <c r="O421" s="73" t="str">
        <f>XF!O41</f>
        <v>.16-03</v>
      </c>
      <c r="P421" s="25">
        <f>XF!P41</f>
        <v>350</v>
      </c>
      <c r="Q421" s="36" t="str">
        <f>XF!Q41</f>
        <v>.14-03</v>
      </c>
      <c r="R421" s="31" t="str">
        <f>XF!R41</f>
        <v>ado</v>
      </c>
      <c r="S421" s="25">
        <f>XF!S41</f>
        <v>457</v>
      </c>
      <c r="T421" s="36" t="str">
        <f>XF!T41</f>
        <v>.12-02</v>
      </c>
      <c r="U421" s="31" t="str">
        <f>XF!U41</f>
        <v>camtec</v>
      </c>
    </row>
    <row r="422" spans="1:21">
      <c r="A422" s="144" t="str">
        <f>XF!A42</f>
        <v>Voigtlander</v>
      </c>
      <c r="B422" s="22" t="str">
        <f>XF!B42</f>
        <v xml:space="preserve">15/4.5 ASPH SW Heliar </v>
      </c>
      <c r="C422" s="27">
        <f>XF!C42</f>
        <v>15</v>
      </c>
      <c r="D422" s="41">
        <f>XF!D42</f>
        <v>4.5</v>
      </c>
      <c r="E422" s="33">
        <f>XF!E42</f>
        <v>22.5</v>
      </c>
      <c r="F422" s="27" t="str">
        <f>XF!F42</f>
        <v>LM</v>
      </c>
      <c r="G422" s="55">
        <f>XF!G42</f>
        <v>0.5</v>
      </c>
      <c r="H422" s="56">
        <f>XF!H42</f>
        <v>0.156</v>
      </c>
      <c r="I422" s="27">
        <f>XF!I42</f>
        <v>38</v>
      </c>
      <c r="J422" s="27">
        <f>XF!J42</f>
        <v>59</v>
      </c>
      <c r="K422" s="41">
        <f>XF!K42</f>
        <v>52</v>
      </c>
      <c r="L422" s="26">
        <f>XF!L42</f>
        <v>357.5</v>
      </c>
      <c r="M422" s="24" t="str">
        <f>XF!M42</f>
        <v>.16-05</v>
      </c>
      <c r="N422" s="26">
        <f>XF!N42</f>
        <v>465.88888888888891</v>
      </c>
      <c r="O422" s="124" t="str">
        <f>XF!O42</f>
        <v>.16-03</v>
      </c>
      <c r="P422" s="26">
        <f>XF!P42</f>
        <v>487</v>
      </c>
      <c r="Q422" s="24" t="str">
        <f>XF!Q42</f>
        <v>.15-04</v>
      </c>
      <c r="R422" s="33" t="str">
        <f>XF!R42</f>
        <v>keh</v>
      </c>
      <c r="S422" s="26">
        <f>XF!S42</f>
        <v>342</v>
      </c>
      <c r="T422" s="24" t="str">
        <f>XF!T42</f>
        <v>.16-05</v>
      </c>
      <c r="U422" s="33" t="str">
        <f>XF!U42</f>
        <v>d'town</v>
      </c>
    </row>
    <row r="423" spans="1:21">
      <c r="A423" s="143" t="str">
        <f>XF!A7</f>
        <v>Fujifilm</v>
      </c>
      <c r="B423" s="11" t="str">
        <f>XF!B7</f>
        <v>Fujinon XF 16/1.4 R</v>
      </c>
      <c r="C423" s="16">
        <f>XF!C7</f>
        <v>16</v>
      </c>
      <c r="D423" s="18">
        <f>XF!D7</f>
        <v>1.4</v>
      </c>
      <c r="E423" s="31">
        <f>XF!E7</f>
        <v>24</v>
      </c>
      <c r="F423" s="16" t="str">
        <f>XF!F7</f>
        <v>X</v>
      </c>
      <c r="G423" s="58">
        <f>XF!G7</f>
        <v>0.15</v>
      </c>
      <c r="H423" s="53">
        <f>XF!H7</f>
        <v>0.375</v>
      </c>
      <c r="I423" s="16">
        <f>XF!I7</f>
        <v>73</v>
      </c>
      <c r="J423" s="16">
        <f>XF!J7</f>
        <v>73.400000000000006</v>
      </c>
      <c r="K423" s="18">
        <f>XF!K7</f>
        <v>67</v>
      </c>
      <c r="L423" s="25">
        <f>XF!L7</f>
        <v>651.20000000000005</v>
      </c>
      <c r="M423" s="36" t="str">
        <f>XF!M7</f>
        <v>.16-05</v>
      </c>
      <c r="N423" s="25">
        <f>XF!N7</f>
        <v>790.75</v>
      </c>
      <c r="O423" s="73" t="str">
        <f>XF!O7</f>
        <v>.16-05</v>
      </c>
      <c r="P423" s="25" t="str">
        <f>XF!P7</f>
        <v xml:space="preserve"> </v>
      </c>
      <c r="Q423" s="36" t="str">
        <f>XF!Q7</f>
        <v xml:space="preserve"> </v>
      </c>
      <c r="R423" s="31" t="str">
        <f>XF!R7</f>
        <v xml:space="preserve"> </v>
      </c>
      <c r="S423" s="25" t="str">
        <f>XF!S7</f>
        <v xml:space="preserve"> </v>
      </c>
      <c r="T423" s="36" t="str">
        <f>XF!T7</f>
        <v xml:space="preserve"> </v>
      </c>
      <c r="U423" s="31" t="str">
        <f>XF!U7</f>
        <v xml:space="preserve"> </v>
      </c>
    </row>
    <row r="424" spans="1:21">
      <c r="A424" s="143" t="str">
        <f>XF!A37</f>
        <v>Samyang</v>
      </c>
      <c r="B424" s="11" t="str">
        <f>XF!B37</f>
        <v>16/2.8</v>
      </c>
      <c r="C424" s="16">
        <f>XF!C37</f>
        <v>16</v>
      </c>
      <c r="D424" s="18">
        <f>XF!D37</f>
        <v>2</v>
      </c>
      <c r="E424" s="31">
        <f>XF!E37</f>
        <v>24</v>
      </c>
      <c r="F424" s="16" t="str">
        <f>XF!F37</f>
        <v>X</v>
      </c>
      <c r="G424" s="58">
        <f>XF!G37</f>
        <v>0.2</v>
      </c>
      <c r="H424" s="53">
        <f>XF!H37</f>
        <v>0.58299999999999996</v>
      </c>
      <c r="I424" s="16">
        <f>XF!I37</f>
        <v>115.3</v>
      </c>
      <c r="J424" s="16">
        <f>XF!J37</f>
        <v>83</v>
      </c>
      <c r="K424" s="18">
        <f>XF!K37</f>
        <v>77</v>
      </c>
      <c r="L424" s="25" t="str">
        <f>XF!L37</f>
        <v xml:space="preserve"> </v>
      </c>
      <c r="M424" s="36" t="str">
        <f>XF!M37</f>
        <v xml:space="preserve"> </v>
      </c>
      <c r="N424" s="25" t="str">
        <f>XF!N37</f>
        <v xml:space="preserve"> </v>
      </c>
      <c r="O424" s="73" t="str">
        <f>XF!O37</f>
        <v xml:space="preserve"> </v>
      </c>
      <c r="P424" s="25" t="str">
        <f>XF!P37</f>
        <v xml:space="preserve"> </v>
      </c>
      <c r="Q424" s="36" t="str">
        <f>XF!Q37</f>
        <v xml:space="preserve"> </v>
      </c>
      <c r="R424" s="31" t="str">
        <f>XF!R37</f>
        <v xml:space="preserve"> </v>
      </c>
      <c r="S424" s="25">
        <f>XF!S37</f>
        <v>280</v>
      </c>
      <c r="T424" s="36" t="str">
        <f>XF!T37</f>
        <v>.16-01</v>
      </c>
      <c r="U424" s="31" t="str">
        <f>XF!U37</f>
        <v>LA</v>
      </c>
    </row>
    <row r="425" spans="1:21">
      <c r="A425" s="143" t="str">
        <f>XF!A8</f>
        <v>Fujifilm</v>
      </c>
      <c r="B425" s="11" t="str">
        <f>XF!B8</f>
        <v>Fujinon XF 18/2 R</v>
      </c>
      <c r="C425" s="16">
        <f>XF!C8</f>
        <v>18</v>
      </c>
      <c r="D425" s="18">
        <f>XF!D8</f>
        <v>2</v>
      </c>
      <c r="E425" s="31">
        <f>XF!E8</f>
        <v>27</v>
      </c>
      <c r="F425" s="16" t="str">
        <f>XF!F8</f>
        <v>X</v>
      </c>
      <c r="G425" s="58">
        <f>XF!G8</f>
        <v>0.18</v>
      </c>
      <c r="H425" s="53">
        <f>XF!H8</f>
        <v>0.11600000000000001</v>
      </c>
      <c r="I425" s="16">
        <f>XF!I8</f>
        <v>40.6</v>
      </c>
      <c r="J425" s="16">
        <f>XF!J8</f>
        <v>64.5</v>
      </c>
      <c r="K425" s="18">
        <f>XF!K8</f>
        <v>52</v>
      </c>
      <c r="L425" s="25">
        <f>XF!L8</f>
        <v>250.75</v>
      </c>
      <c r="M425" s="36" t="str">
        <f>XF!M8</f>
        <v>.16-03</v>
      </c>
      <c r="N425" s="25">
        <f>XF!N8</f>
        <v>298.36363636363637</v>
      </c>
      <c r="O425" s="73" t="str">
        <f>XF!O8</f>
        <v>.16-05</v>
      </c>
      <c r="P425" s="25">
        <f>XF!P8</f>
        <v>328</v>
      </c>
      <c r="Q425" s="36" t="str">
        <f>XF!Q8</f>
        <v>.15-04</v>
      </c>
      <c r="R425" s="31" t="str">
        <f>XF!R8</f>
        <v>keh</v>
      </c>
      <c r="S425" s="25">
        <f>XF!S8</f>
        <v>400</v>
      </c>
      <c r="T425" s="36" t="str">
        <f>XF!T8</f>
        <v>.14-05</v>
      </c>
      <c r="U425" s="31" t="str">
        <f>XF!U8</f>
        <v>bergen</v>
      </c>
    </row>
    <row r="426" spans="1:21">
      <c r="A426" s="143" t="str">
        <f>XF!A54</f>
        <v>Canon RF</v>
      </c>
      <c r="B426" s="11" t="str">
        <f>XF!B54</f>
        <v>S 19/3.5</v>
      </c>
      <c r="C426" s="16">
        <f>XF!C54</f>
        <v>19</v>
      </c>
      <c r="D426" s="18">
        <f>XF!D54</f>
        <v>3.5</v>
      </c>
      <c r="E426" s="31">
        <f>XF!E54</f>
        <v>28.5</v>
      </c>
      <c r="F426" s="16" t="str">
        <f>XF!F54</f>
        <v>LTM</v>
      </c>
      <c r="G426" s="58">
        <f>XF!G54</f>
        <v>0.5</v>
      </c>
      <c r="H426" s="53">
        <f>XF!H54</f>
        <v>0.2</v>
      </c>
      <c r="I426" s="16">
        <f>XF!I54</f>
        <v>30.5</v>
      </c>
      <c r="J426" s="16">
        <f>XF!J54</f>
        <v>58.6</v>
      </c>
      <c r="K426" s="18">
        <f>XF!K54</f>
        <v>55</v>
      </c>
      <c r="L426" s="25">
        <f>XF!L54</f>
        <v>0</v>
      </c>
      <c r="M426" s="36" t="str">
        <f>XF!M54</f>
        <v xml:space="preserve"> </v>
      </c>
      <c r="N426" s="25">
        <f>XF!N54</f>
        <v>799</v>
      </c>
      <c r="O426" s="73" t="str">
        <f>XF!O54</f>
        <v>.16-03</v>
      </c>
      <c r="P426" s="25" t="str">
        <f>XF!P54</f>
        <v xml:space="preserve"> </v>
      </c>
      <c r="Q426" s="36" t="str">
        <f>XF!Q54</f>
        <v xml:space="preserve"> </v>
      </c>
      <c r="R426" s="31" t="str">
        <f>XF!R54</f>
        <v xml:space="preserve"> </v>
      </c>
      <c r="S426" s="25" t="str">
        <f>XF!S54</f>
        <v xml:space="preserve"> </v>
      </c>
      <c r="T426" s="36" t="str">
        <f>XF!T54</f>
        <v xml:space="preserve"> </v>
      </c>
      <c r="U426" s="31" t="str">
        <f>XF!U54</f>
        <v xml:space="preserve"> </v>
      </c>
    </row>
    <row r="427" spans="1:21">
      <c r="A427" s="143" t="str">
        <f>XF!A43</f>
        <v>Voigtlander</v>
      </c>
      <c r="B427" s="11" t="str">
        <f>XF!B43</f>
        <v xml:space="preserve">21/1.8 ASPH Ultron </v>
      </c>
      <c r="C427" s="16">
        <f>XF!C43</f>
        <v>21</v>
      </c>
      <c r="D427" s="18">
        <f>XF!D43</f>
        <v>1.8</v>
      </c>
      <c r="E427" s="31">
        <f>XF!E43</f>
        <v>31.5</v>
      </c>
      <c r="F427" s="16" t="str">
        <f>XF!F43</f>
        <v>LM</v>
      </c>
      <c r="G427" s="58">
        <f>XF!G43</f>
        <v>0.7</v>
      </c>
      <c r="H427" s="53">
        <f>XF!H43</f>
        <v>0.41199999999999998</v>
      </c>
      <c r="I427" s="16">
        <f>XF!I43</f>
        <v>78.400000000000006</v>
      </c>
      <c r="J427" s="16">
        <f>XF!J43</f>
        <v>69</v>
      </c>
      <c r="K427" s="18">
        <f>XF!K43</f>
        <v>58</v>
      </c>
      <c r="L427" s="25">
        <f>XF!L43</f>
        <v>732.66666666666663</v>
      </c>
      <c r="M427" s="36" t="str">
        <f>XF!M43</f>
        <v>.16-05</v>
      </c>
      <c r="N427" s="25">
        <f>XF!N43</f>
        <v>1058</v>
      </c>
      <c r="O427" s="73" t="str">
        <f>XF!O43</f>
        <v>.16-03</v>
      </c>
      <c r="P427" s="25">
        <f>XF!P43</f>
        <v>875</v>
      </c>
      <c r="Q427" s="36" t="str">
        <f>XF!Q43</f>
        <v>.16-01</v>
      </c>
      <c r="R427" s="31" t="str">
        <f>XF!R43</f>
        <v>b&amp;h</v>
      </c>
      <c r="S427" s="25">
        <f>XF!S43</f>
        <v>2181</v>
      </c>
      <c r="T427" s="36" t="str">
        <f>XF!T43</f>
        <v>.13-04</v>
      </c>
      <c r="U427" s="31" t="str">
        <f>XF!U43</f>
        <v>camtec</v>
      </c>
    </row>
    <row r="428" spans="1:21">
      <c r="A428" s="144" t="str">
        <f>XF!A9</f>
        <v>Fujifilm</v>
      </c>
      <c r="B428" s="22" t="str">
        <f>XF!B9</f>
        <v>Fujinon XF 23/1.4 R</v>
      </c>
      <c r="C428" s="27">
        <f>XF!C9</f>
        <v>23</v>
      </c>
      <c r="D428" s="41">
        <f>XF!D9</f>
        <v>1.4</v>
      </c>
      <c r="E428" s="33">
        <f>XF!E9</f>
        <v>34.5</v>
      </c>
      <c r="F428" s="27" t="str">
        <f>XF!F9</f>
        <v>X</v>
      </c>
      <c r="G428" s="55">
        <f>XF!G9</f>
        <v>0.28000000000000003</v>
      </c>
      <c r="H428" s="56">
        <f>XF!H9</f>
        <v>0.30099999999999999</v>
      </c>
      <c r="I428" s="27">
        <f>XF!I9</f>
        <v>63</v>
      </c>
      <c r="J428" s="27">
        <f>XF!J9</f>
        <v>72</v>
      </c>
      <c r="K428" s="41">
        <f>XF!K9</f>
        <v>62</v>
      </c>
      <c r="L428" s="26">
        <f>XF!L9</f>
        <v>519.36363636363637</v>
      </c>
      <c r="M428" s="24" t="str">
        <f>XF!M9</f>
        <v>.16-05</v>
      </c>
      <c r="N428" s="26">
        <f>XF!N9</f>
        <v>609.66666666666663</v>
      </c>
      <c r="O428" s="124" t="str">
        <f>XF!O9</f>
        <v>.16-05</v>
      </c>
      <c r="P428" s="26">
        <f>XF!P9</f>
        <v>572</v>
      </c>
      <c r="Q428" s="24" t="str">
        <f>XF!Q9</f>
        <v>.15-04</v>
      </c>
      <c r="R428" s="33" t="str">
        <f>XF!R9</f>
        <v>keh</v>
      </c>
      <c r="S428" s="26">
        <f>XF!S9</f>
        <v>570</v>
      </c>
      <c r="T428" s="24" t="str">
        <f>XF!T9</f>
        <v>.15-04</v>
      </c>
      <c r="U428" s="33" t="str">
        <f>XF!U9</f>
        <v>camtec</v>
      </c>
    </row>
    <row r="429" spans="1:21">
      <c r="A429" s="143" t="str">
        <f>XF!A10</f>
        <v>Fujifilm</v>
      </c>
      <c r="B429" s="11" t="str">
        <f>XF!B10</f>
        <v>Fujinon XF 27/2.8 R</v>
      </c>
      <c r="C429" s="16">
        <f>XF!C10</f>
        <v>27</v>
      </c>
      <c r="D429" s="18">
        <f>XF!D10</f>
        <v>2.8</v>
      </c>
      <c r="E429" s="31">
        <f>XF!E10</f>
        <v>40.5</v>
      </c>
      <c r="F429" s="16" t="str">
        <f>XF!F10</f>
        <v>X</v>
      </c>
      <c r="G429" s="58">
        <f>XF!G10</f>
        <v>0.34</v>
      </c>
      <c r="H429" s="53">
        <f>XF!H10</f>
        <v>7.8E-2</v>
      </c>
      <c r="I429" s="16">
        <f>XF!I10</f>
        <v>23</v>
      </c>
      <c r="J429" s="16">
        <f>XF!J10</f>
        <v>61.2</v>
      </c>
      <c r="K429" s="18">
        <f>XF!K10</f>
        <v>39</v>
      </c>
      <c r="L429" s="25">
        <f>XF!L10</f>
        <v>196.7</v>
      </c>
      <c r="M429" s="36" t="str">
        <f>XF!M10</f>
        <v>.16-05</v>
      </c>
      <c r="N429" s="25">
        <f>XF!N10</f>
        <v>264.55555555555554</v>
      </c>
      <c r="O429" s="73" t="str">
        <f>XF!O10</f>
        <v>.16-05</v>
      </c>
      <c r="P429" s="25" t="str">
        <f>XF!P10</f>
        <v xml:space="preserve"> </v>
      </c>
      <c r="Q429" s="36" t="str">
        <f>XF!Q10</f>
        <v xml:space="preserve"> </v>
      </c>
      <c r="R429" s="31" t="str">
        <f>XF!R10</f>
        <v xml:space="preserve"> </v>
      </c>
      <c r="S429" s="25">
        <f>XF!S10</f>
        <v>200</v>
      </c>
      <c r="T429" s="36" t="str">
        <f>XF!T10</f>
        <v>.14-03</v>
      </c>
      <c r="U429" s="31" t="str">
        <f>XF!U10</f>
        <v>ado</v>
      </c>
    </row>
    <row r="430" spans="1:21">
      <c r="A430" s="143" t="str">
        <f>XF!A44</f>
        <v>Voigtlander</v>
      </c>
      <c r="B430" s="11" t="str">
        <f>XF!B44</f>
        <v>28/1.9 ASPH Ultron (D)</v>
      </c>
      <c r="C430" s="16">
        <f>XF!C44</f>
        <v>28</v>
      </c>
      <c r="D430" s="18">
        <f>XF!D44</f>
        <v>1.9</v>
      </c>
      <c r="E430" s="31">
        <f>XF!E44</f>
        <v>42</v>
      </c>
      <c r="F430" s="16" t="str">
        <f>XF!F44</f>
        <v>LTM</v>
      </c>
      <c r="G430" s="58">
        <f>XF!G44</f>
        <v>0.7</v>
      </c>
      <c r="H430" s="53">
        <f>XF!H44</f>
        <v>0.26400000000000001</v>
      </c>
      <c r="I430" s="16">
        <f>XF!I44</f>
        <v>47</v>
      </c>
      <c r="J430" s="16">
        <f>XF!J44</f>
        <v>53</v>
      </c>
      <c r="K430" s="18">
        <f>XF!K44</f>
        <v>46</v>
      </c>
      <c r="L430" s="25">
        <f>XF!L44</f>
        <v>363.09090909090907</v>
      </c>
      <c r="M430" s="36" t="str">
        <f>XF!M44</f>
        <v>.16-05</v>
      </c>
      <c r="N430" s="25">
        <f>XF!N44</f>
        <v>519.29999999999995</v>
      </c>
      <c r="O430" s="73" t="str">
        <f>XF!O44</f>
        <v>.16-05</v>
      </c>
      <c r="P430" s="25" t="str">
        <f>XF!P44</f>
        <v xml:space="preserve"> </v>
      </c>
      <c r="Q430" s="36" t="str">
        <f>XF!Q44</f>
        <v xml:space="preserve"> </v>
      </c>
      <c r="R430" s="31" t="str">
        <f>XF!R44</f>
        <v xml:space="preserve"> </v>
      </c>
      <c r="S430" s="25">
        <f>XF!S44</f>
        <v>0</v>
      </c>
      <c r="T430" s="36" t="str">
        <f>XF!T44</f>
        <v xml:space="preserve"> </v>
      </c>
      <c r="U430" s="31" t="str">
        <f>XF!U44</f>
        <v xml:space="preserve"> </v>
      </c>
    </row>
    <row r="431" spans="1:21">
      <c r="A431" s="143" t="str">
        <f>XF!A45</f>
        <v>Voigtlander</v>
      </c>
      <c r="B431" s="11" t="str">
        <f>XF!B45</f>
        <v>28/2 Ultron</v>
      </c>
      <c r="C431" s="16">
        <f>XF!C45</f>
        <v>28</v>
      </c>
      <c r="D431" s="18">
        <f>XF!D45</f>
        <v>2</v>
      </c>
      <c r="E431" s="31">
        <f>XF!E45</f>
        <v>42</v>
      </c>
      <c r="F431" s="16" t="str">
        <f>XF!F45</f>
        <v>LM</v>
      </c>
      <c r="G431" s="58">
        <f>XF!G45</f>
        <v>0.7</v>
      </c>
      <c r="H431" s="53">
        <f>XF!H45</f>
        <v>0.24299999999999999</v>
      </c>
      <c r="I431" s="16">
        <f>XF!I45</f>
        <v>51</v>
      </c>
      <c r="J431" s="16">
        <f>XF!J45</f>
        <v>55</v>
      </c>
      <c r="K431" s="18">
        <f>XF!K45</f>
        <v>46</v>
      </c>
      <c r="L431" s="25">
        <f>XF!L45</f>
        <v>416.5</v>
      </c>
      <c r="M431" s="36" t="str">
        <f>XF!M45</f>
        <v>.16-05</v>
      </c>
      <c r="N431" s="25">
        <f>XF!N45</f>
        <v>494.9</v>
      </c>
      <c r="O431" s="73" t="str">
        <f>XF!O45</f>
        <v>.16-04</v>
      </c>
      <c r="P431" s="25">
        <f>XF!P45</f>
        <v>470</v>
      </c>
      <c r="Q431" s="36" t="str">
        <f>XF!Q45</f>
        <v>.16-01</v>
      </c>
      <c r="R431" s="31" t="str">
        <f>XF!R45</f>
        <v>b&amp;h</v>
      </c>
      <c r="S431" s="25">
        <f>XF!S45</f>
        <v>631</v>
      </c>
      <c r="T431" s="36" t="str">
        <f>XF!T45</f>
        <v>.13-04</v>
      </c>
      <c r="U431" s="31" t="str">
        <f>XF!U45</f>
        <v>camtec</v>
      </c>
    </row>
    <row r="432" spans="1:21">
      <c r="A432" s="143" t="str">
        <f>XF!A32</f>
        <v>Zeiss</v>
      </c>
      <c r="B432" s="11" t="str">
        <f>XF!B32</f>
        <v>Touit 32/1.8</v>
      </c>
      <c r="C432" s="16">
        <f>XF!C32</f>
        <v>32</v>
      </c>
      <c r="D432" s="18">
        <f>XF!D32</f>
        <v>1.8</v>
      </c>
      <c r="E432" s="31">
        <f>XF!E32</f>
        <v>48</v>
      </c>
      <c r="F432" s="16" t="str">
        <f>XF!F32</f>
        <v>X</v>
      </c>
      <c r="G432" s="58">
        <f>XF!G32</f>
        <v>0.3</v>
      </c>
      <c r="H432" s="53">
        <f>XF!H32</f>
        <v>0.21</v>
      </c>
      <c r="I432" s="16">
        <f>XF!I32</f>
        <v>58</v>
      </c>
      <c r="J432" s="16">
        <f>XF!J32</f>
        <v>75</v>
      </c>
      <c r="K432" s="18">
        <f>XF!K32</f>
        <v>52</v>
      </c>
      <c r="L432" s="25">
        <f>XF!L32</f>
        <v>318</v>
      </c>
      <c r="M432" s="36" t="str">
        <f>XF!M32</f>
        <v>.16-05</v>
      </c>
      <c r="N432" s="25">
        <f>XF!N32</f>
        <v>465.09090909090907</v>
      </c>
      <c r="O432" s="73" t="str">
        <f>XF!O32</f>
        <v>.16-04</v>
      </c>
      <c r="P432" s="25">
        <f>XF!P32</f>
        <v>367</v>
      </c>
      <c r="Q432" s="36" t="str">
        <f>XF!Q32</f>
        <v>.16-05</v>
      </c>
      <c r="R432" s="31" t="str">
        <f>XF!R32</f>
        <v>keh</v>
      </c>
      <c r="S432" s="25">
        <f>XF!S32</f>
        <v>437</v>
      </c>
      <c r="T432" s="36" t="str">
        <f>XF!T32</f>
        <v>.16-03</v>
      </c>
      <c r="U432" s="31" t="str">
        <f>XF!U32</f>
        <v>camtec</v>
      </c>
    </row>
    <row r="433" spans="1:21">
      <c r="A433" s="143" t="str">
        <f>XF!A11</f>
        <v>Fujifilm</v>
      </c>
      <c r="B433" s="11" t="str">
        <f>XF!B11</f>
        <v>Fujinon XF 35/1.4 R</v>
      </c>
      <c r="C433" s="16">
        <f>XF!C11</f>
        <v>35</v>
      </c>
      <c r="D433" s="18">
        <f>XF!D11</f>
        <v>1.4</v>
      </c>
      <c r="E433" s="31">
        <f>XF!E11</f>
        <v>52.5</v>
      </c>
      <c r="F433" s="16" t="str">
        <f>XF!F11</f>
        <v>X</v>
      </c>
      <c r="G433" s="58">
        <f>XF!G11</f>
        <v>0.28000000000000003</v>
      </c>
      <c r="H433" s="53">
        <f>XF!H11</f>
        <v>0.187</v>
      </c>
      <c r="I433" s="16">
        <f>XF!I11</f>
        <v>54.9</v>
      </c>
      <c r="J433" s="16">
        <f>XF!J11</f>
        <v>65</v>
      </c>
      <c r="K433" s="18">
        <f>XF!K11</f>
        <v>52</v>
      </c>
      <c r="L433" s="25">
        <f>XF!L11</f>
        <v>324.58333333333331</v>
      </c>
      <c r="M433" s="36" t="str">
        <f>XF!M11</f>
        <v>.16-05</v>
      </c>
      <c r="N433" s="25">
        <f>XF!N11</f>
        <v>388.81818181818181</v>
      </c>
      <c r="O433" s="73" t="str">
        <f>XF!O11</f>
        <v>.16-04</v>
      </c>
      <c r="P433" s="25">
        <f>XF!P11</f>
        <v>323</v>
      </c>
      <c r="Q433" s="36" t="str">
        <f>XF!Q11</f>
        <v>.16-05</v>
      </c>
      <c r="R433" s="31" t="str">
        <f>XF!R11</f>
        <v>d'town</v>
      </c>
      <c r="S433" s="25">
        <f>XF!S11</f>
        <v>361</v>
      </c>
      <c r="T433" s="36" t="str">
        <f>XF!T11</f>
        <v>.16-05</v>
      </c>
      <c r="U433" s="31" t="str">
        <f>XF!U11</f>
        <v>d'town</v>
      </c>
    </row>
    <row r="434" spans="1:21">
      <c r="A434" s="143" t="str">
        <f>XF!A12</f>
        <v>Fujifilm</v>
      </c>
      <c r="B434" s="11" t="str">
        <f>XF!B12</f>
        <v>Fujinon XF 35/2 R</v>
      </c>
      <c r="C434" s="16">
        <f>XF!C12</f>
        <v>35</v>
      </c>
      <c r="D434" s="18">
        <f>XF!D12</f>
        <v>2</v>
      </c>
      <c r="E434" s="31">
        <f>XF!E12</f>
        <v>52.5</v>
      </c>
      <c r="F434" s="16" t="str">
        <f>XF!F12</f>
        <v>X</v>
      </c>
      <c r="G434" s="58">
        <f>XF!G12</f>
        <v>0.35</v>
      </c>
      <c r="H434" s="53">
        <f>XF!H12</f>
        <v>0.17</v>
      </c>
      <c r="I434" s="16">
        <f>XF!I12</f>
        <v>45.9</v>
      </c>
      <c r="J434" s="16">
        <f>XF!J12</f>
        <v>60</v>
      </c>
      <c r="K434" s="18">
        <f>XF!K12</f>
        <v>43</v>
      </c>
      <c r="L434" s="25">
        <f>XF!L12</f>
        <v>362.6</v>
      </c>
      <c r="M434" s="36" t="str">
        <f>XF!M12</f>
        <v>.16-05</v>
      </c>
      <c r="N434" s="25">
        <f>XF!N12</f>
        <v>391.125</v>
      </c>
      <c r="O434" s="73" t="str">
        <f>XF!O12</f>
        <v>.16-04</v>
      </c>
      <c r="P434" s="25" t="str">
        <f>XF!P12</f>
        <v xml:space="preserve"> </v>
      </c>
      <c r="Q434" s="36" t="str">
        <f>XF!Q12</f>
        <v xml:space="preserve"> </v>
      </c>
      <c r="R434" s="31" t="str">
        <f>XF!R12</f>
        <v xml:space="preserve"> </v>
      </c>
      <c r="S434" s="25">
        <f>XF!S12</f>
        <v>400</v>
      </c>
      <c r="T434" s="36" t="str">
        <f>XF!T12</f>
        <v>.15-11</v>
      </c>
      <c r="U434" s="31" t="str">
        <f>XF!U12</f>
        <v>b&amp;h</v>
      </c>
    </row>
    <row r="435" spans="1:21">
      <c r="A435" s="143" t="str">
        <f>XF!A46</f>
        <v>Voigtlander</v>
      </c>
      <c r="B435" s="11" t="str">
        <f>XF!B46</f>
        <v xml:space="preserve">35/1.2 Nokton ASPH </v>
      </c>
      <c r="C435" s="16">
        <f>XF!C46</f>
        <v>35</v>
      </c>
      <c r="D435" s="18">
        <f>XF!D46</f>
        <v>1.2</v>
      </c>
      <c r="E435" s="31">
        <f>XF!E46</f>
        <v>52.5</v>
      </c>
      <c r="F435" s="16" t="str">
        <f>XF!F46</f>
        <v>LM</v>
      </c>
      <c r="G435" s="58">
        <f>XF!G46</f>
        <v>0.7</v>
      </c>
      <c r="H435" s="53">
        <f>XF!H46</f>
        <v>0.49</v>
      </c>
      <c r="I435" s="16">
        <f>XF!I46</f>
        <v>77.8</v>
      </c>
      <c r="J435" s="16">
        <f>XF!J46</f>
        <v>63</v>
      </c>
      <c r="K435" s="18">
        <f>XF!K46</f>
        <v>52</v>
      </c>
      <c r="L435" s="25">
        <f>XF!L46</f>
        <v>806.85714285714289</v>
      </c>
      <c r="M435" s="36" t="str">
        <f>XF!M46</f>
        <v>.16-03</v>
      </c>
      <c r="N435" s="25">
        <f>XF!N46</f>
        <v>1090.3333333333333</v>
      </c>
      <c r="O435" s="73" t="str">
        <f>XF!O46</f>
        <v>.14-08</v>
      </c>
      <c r="P435" s="25" t="str">
        <f>XF!P46</f>
        <v xml:space="preserve"> </v>
      </c>
      <c r="Q435" s="36" t="str">
        <f>XF!Q46</f>
        <v xml:space="preserve"> </v>
      </c>
      <c r="R435" s="31" t="str">
        <f>XF!R46</f>
        <v xml:space="preserve"> </v>
      </c>
      <c r="S435" s="25">
        <f>XF!S46</f>
        <v>1199</v>
      </c>
      <c r="T435" s="36" t="str">
        <f>XF!T46</f>
        <v>.12-04</v>
      </c>
      <c r="U435" s="31" t="str">
        <f>XF!U46</f>
        <v>c'quest</v>
      </c>
    </row>
    <row r="436" spans="1:21">
      <c r="A436" s="143" t="str">
        <f>XF!A47</f>
        <v>Voigtlander</v>
      </c>
      <c r="B436" s="11" t="str">
        <f>XF!B47</f>
        <v>35/1.2 Nokton ASPH II</v>
      </c>
      <c r="C436" s="16">
        <f>XF!C47</f>
        <v>35</v>
      </c>
      <c r="D436" s="18">
        <f>XF!D47</f>
        <v>1.2</v>
      </c>
      <c r="E436" s="31">
        <f>XF!E47</f>
        <v>52.5</v>
      </c>
      <c r="F436" s="16" t="str">
        <f>XF!F47</f>
        <v>LM</v>
      </c>
      <c r="G436" s="58">
        <f>XF!G47</f>
        <v>0.5</v>
      </c>
      <c r="H436" s="53">
        <f>XF!H47</f>
        <v>0.47099999999999997</v>
      </c>
      <c r="I436" s="16">
        <f>XF!I47</f>
        <v>62</v>
      </c>
      <c r="J436" s="16">
        <f>XF!J47</f>
        <v>60.8</v>
      </c>
      <c r="K436" s="18">
        <f>XF!K47</f>
        <v>52</v>
      </c>
      <c r="L436" s="25">
        <f>XF!L47</f>
        <v>775</v>
      </c>
      <c r="M436" s="36" t="str">
        <f>XF!M47</f>
        <v>.16-05</v>
      </c>
      <c r="N436" s="25">
        <f>XF!N47</f>
        <v>968.18181818181813</v>
      </c>
      <c r="O436" s="73" t="str">
        <f>XF!O47</f>
        <v>.16-05</v>
      </c>
      <c r="P436" s="25">
        <f>XF!P47</f>
        <v>790</v>
      </c>
      <c r="Q436" s="36" t="str">
        <f>XF!Q47</f>
        <v>.16-01</v>
      </c>
      <c r="R436" s="31" t="str">
        <f>XF!R47</f>
        <v>b&amp;h</v>
      </c>
      <c r="S436" s="25">
        <f>XF!S47</f>
        <v>1085</v>
      </c>
      <c r="T436" s="36" t="str">
        <f>XF!T47</f>
        <v>.15-04</v>
      </c>
      <c r="U436" s="31" t="str">
        <f>XF!U47</f>
        <v>keh</v>
      </c>
    </row>
    <row r="437" spans="1:21">
      <c r="A437" s="143" t="str">
        <f>XF!A48</f>
        <v>Voigtlander</v>
      </c>
      <c r="B437" s="11" t="str">
        <f>XF!B48</f>
        <v>35/1.4  MC/SC Nokton</v>
      </c>
      <c r="C437" s="16">
        <f>XF!C48</f>
        <v>35</v>
      </c>
      <c r="D437" s="18">
        <f>XF!D48</f>
        <v>1.4</v>
      </c>
      <c r="E437" s="31">
        <f>XF!E48</f>
        <v>52.5</v>
      </c>
      <c r="F437" s="16" t="str">
        <f>XF!F48</f>
        <v>LM</v>
      </c>
      <c r="G437" s="58">
        <f>XF!G48</f>
        <v>0.7</v>
      </c>
      <c r="H437" s="53">
        <f>XF!H48</f>
        <v>0.19800000000000001</v>
      </c>
      <c r="I437" s="16">
        <f>XF!I48</f>
        <v>29</v>
      </c>
      <c r="J437" s="16">
        <f>XF!J48</f>
        <v>55</v>
      </c>
      <c r="K437" s="18">
        <f>XF!K48</f>
        <v>43</v>
      </c>
      <c r="L437" s="25">
        <f>XF!L48</f>
        <v>411.63636363636363</v>
      </c>
      <c r="M437" s="36" t="str">
        <f>XF!M48</f>
        <v>.16-05</v>
      </c>
      <c r="N437" s="25">
        <f>XF!N48</f>
        <v>526.6</v>
      </c>
      <c r="O437" s="73" t="str">
        <f>XF!O48</f>
        <v>.16-05</v>
      </c>
      <c r="P437" s="25" t="str">
        <f>XF!P48</f>
        <v xml:space="preserve"> </v>
      </c>
      <c r="Q437" s="36" t="str">
        <f>XF!Q48</f>
        <v xml:space="preserve"> </v>
      </c>
      <c r="R437" s="31" t="str">
        <f>XF!R48</f>
        <v xml:space="preserve"> </v>
      </c>
      <c r="S437" s="25">
        <f>XF!S48</f>
        <v>580</v>
      </c>
      <c r="T437" s="36" t="str">
        <f>XF!T48</f>
        <v>.13-02</v>
      </c>
      <c r="U437" s="31" t="str">
        <f>XF!U48</f>
        <v>ado</v>
      </c>
    </row>
    <row r="438" spans="1:21">
      <c r="A438" s="143" t="str">
        <f>XF!A55</f>
        <v>Canon RF</v>
      </c>
      <c r="B438" s="11" t="str">
        <f>XF!B55</f>
        <v>S 35/1.8</v>
      </c>
      <c r="C438" s="16">
        <f>XF!C55</f>
        <v>35</v>
      </c>
      <c r="D438" s="18">
        <f>XF!D55</f>
        <v>1.8</v>
      </c>
      <c r="E438" s="31">
        <f>XF!E55</f>
        <v>52.5</v>
      </c>
      <c r="F438" s="16" t="str">
        <f>XF!F55</f>
        <v>LTM</v>
      </c>
      <c r="G438" s="58">
        <f>XF!G55</f>
        <v>1</v>
      </c>
      <c r="H438" s="53">
        <f>XF!H55</f>
        <v>0.125</v>
      </c>
      <c r="I438" s="16">
        <f>XF!I55</f>
        <v>28.2</v>
      </c>
      <c r="J438" s="16">
        <f>XF!J55</f>
        <v>48</v>
      </c>
      <c r="K438" s="18">
        <f>XF!K55</f>
        <v>40</v>
      </c>
      <c r="L438" s="25">
        <f>XF!L55</f>
        <v>298.25</v>
      </c>
      <c r="M438" s="36" t="str">
        <f>XF!M55</f>
        <v>.16-03</v>
      </c>
      <c r="N438" s="25">
        <f>XF!N55</f>
        <v>438</v>
      </c>
      <c r="O438" s="73" t="str">
        <f>XF!O55</f>
        <v>.16-01</v>
      </c>
      <c r="P438" s="25">
        <f>XF!P55</f>
        <v>487</v>
      </c>
      <c r="Q438" s="36" t="str">
        <f>XF!Q55</f>
        <v>.16-01</v>
      </c>
      <c r="R438" s="31" t="str">
        <f>XF!R55</f>
        <v>keh</v>
      </c>
      <c r="S438" s="25" t="str">
        <f>XF!S55</f>
        <v xml:space="preserve"> </v>
      </c>
      <c r="T438" s="36" t="str">
        <f>XF!T55</f>
        <v xml:space="preserve"> </v>
      </c>
      <c r="U438" s="31" t="str">
        <f>XF!U55</f>
        <v xml:space="preserve"> </v>
      </c>
    </row>
    <row r="439" spans="1:21">
      <c r="A439" s="144" t="str">
        <f>XF!A56</f>
        <v>Canon RF</v>
      </c>
      <c r="B439" s="22" t="str">
        <f>XF!B56</f>
        <v>S 35/2</v>
      </c>
      <c r="C439" s="27">
        <f>XF!C56</f>
        <v>35</v>
      </c>
      <c r="D439" s="41">
        <f>XF!D56</f>
        <v>2</v>
      </c>
      <c r="E439" s="33">
        <f>XF!E56</f>
        <v>52.5</v>
      </c>
      <c r="F439" s="27" t="str">
        <f>XF!F56</f>
        <v>LTM</v>
      </c>
      <c r="G439" s="55">
        <f>XF!G56</f>
        <v>1</v>
      </c>
      <c r="H439" s="56">
        <f>XF!H56</f>
        <v>0.107</v>
      </c>
      <c r="I439" s="27">
        <f>XF!I56</f>
        <v>28</v>
      </c>
      <c r="J439" s="27">
        <f>XF!J56</f>
        <v>49</v>
      </c>
      <c r="K439" s="41">
        <f>XF!K56</f>
        <v>40</v>
      </c>
      <c r="L439" s="26">
        <f>XF!L56</f>
        <v>288.63636363636363</v>
      </c>
      <c r="M439" s="24" t="str">
        <f>XF!M56</f>
        <v>.16-05</v>
      </c>
      <c r="N439" s="26">
        <f>XF!N56</f>
        <v>428.14285714285717</v>
      </c>
      <c r="O439" s="124" t="str">
        <f>XF!O56</f>
        <v>.16-05</v>
      </c>
      <c r="P439" s="26" t="str">
        <f>XF!P56</f>
        <v xml:space="preserve"> </v>
      </c>
      <c r="Q439" s="24" t="str">
        <f>XF!Q56</f>
        <v xml:space="preserve"> </v>
      </c>
      <c r="R439" s="33" t="str">
        <f>XF!R56</f>
        <v xml:space="preserve"> </v>
      </c>
      <c r="S439" s="26">
        <f>XF!S56</f>
        <v>395</v>
      </c>
      <c r="T439" s="24" t="str">
        <f>XF!T56</f>
        <v>.14-03</v>
      </c>
      <c r="U439" s="33" t="str">
        <f>XF!U56</f>
        <v>igor</v>
      </c>
    </row>
    <row r="440" spans="1:21">
      <c r="A440" s="143" t="str">
        <f>XF!A49</f>
        <v>Voigtlander</v>
      </c>
      <c r="B440" s="11" t="str">
        <f>XF!B49</f>
        <v>40/1.4 MC/SC Nokton</v>
      </c>
      <c r="C440" s="16">
        <f>XF!C49</f>
        <v>40</v>
      </c>
      <c r="D440" s="18">
        <f>XF!D49</f>
        <v>1.4</v>
      </c>
      <c r="E440" s="31">
        <f>XF!E49</f>
        <v>60</v>
      </c>
      <c r="F440" s="16" t="str">
        <f>XF!F49</f>
        <v>LM</v>
      </c>
      <c r="G440" s="58">
        <f>XF!G49</f>
        <v>0.7</v>
      </c>
      <c r="H440" s="53">
        <f>XF!H49</f>
        <v>0.19800000000000001</v>
      </c>
      <c r="I440" s="16">
        <f>XF!I49</f>
        <v>40</v>
      </c>
      <c r="J440" s="16">
        <f>XF!J49</f>
        <v>55</v>
      </c>
      <c r="K440" s="18">
        <f>XF!K49</f>
        <v>43</v>
      </c>
      <c r="L440" s="25">
        <f>XF!L49</f>
        <v>321.22222222222223</v>
      </c>
      <c r="M440" s="36" t="str">
        <f>XF!M49</f>
        <v>.16-05</v>
      </c>
      <c r="N440" s="25">
        <f>XF!N49</f>
        <v>389.33333333333331</v>
      </c>
      <c r="O440" s="73" t="str">
        <f>XF!O49</f>
        <v>.16-05</v>
      </c>
      <c r="P440" s="25">
        <f>XF!P49</f>
        <v>375</v>
      </c>
      <c r="Q440" s="36" t="str">
        <f>XF!Q49</f>
        <v>.16-01</v>
      </c>
      <c r="R440" s="31" t="str">
        <f>XF!R49</f>
        <v>b&amp;h</v>
      </c>
      <c r="S440" s="25">
        <f>XF!S49</f>
        <v>520</v>
      </c>
      <c r="T440" s="36" t="str">
        <f>XF!T49</f>
        <v>.13-04</v>
      </c>
      <c r="U440" s="31" t="str">
        <f>XF!U49</f>
        <v>camtec</v>
      </c>
    </row>
    <row r="441" spans="1:21">
      <c r="A441" s="143" t="str">
        <f>XF!A33</f>
        <v>Zeiss</v>
      </c>
      <c r="B441" s="11" t="str">
        <f>XF!B33</f>
        <v>Touit 50/2.8 Macro</v>
      </c>
      <c r="C441" s="16">
        <f>XF!C33</f>
        <v>50</v>
      </c>
      <c r="D441" s="18">
        <f>XF!D33</f>
        <v>2.8</v>
      </c>
      <c r="E441" s="31">
        <f>XF!E33</f>
        <v>75</v>
      </c>
      <c r="F441" s="16" t="str">
        <f>XF!F33</f>
        <v>X</v>
      </c>
      <c r="G441" s="58">
        <f>XF!G33</f>
        <v>0.15</v>
      </c>
      <c r="H441" s="53">
        <f>XF!H33</f>
        <v>0.28999999999999998</v>
      </c>
      <c r="I441" s="16">
        <f>XF!I33</f>
        <v>91</v>
      </c>
      <c r="J441" s="16">
        <f>XF!J33</f>
        <v>65</v>
      </c>
      <c r="K441" s="18">
        <f>XF!K33</f>
        <v>52</v>
      </c>
      <c r="L441" s="25">
        <f>XF!L33</f>
        <v>654</v>
      </c>
      <c r="M441" s="36" t="str">
        <f>XF!M33</f>
        <v>.16-03</v>
      </c>
      <c r="N441" s="25">
        <f>XF!N33</f>
        <v>824.5</v>
      </c>
      <c r="O441" s="73" t="str">
        <f>XF!O33</f>
        <v>.16-04</v>
      </c>
      <c r="P441" s="25" t="str">
        <f>XF!P33</f>
        <v xml:space="preserve"> </v>
      </c>
      <c r="Q441" s="36" t="str">
        <f>XF!Q33</f>
        <v xml:space="preserve"> </v>
      </c>
      <c r="R441" s="31" t="str">
        <f>XF!R33</f>
        <v xml:space="preserve"> </v>
      </c>
      <c r="S441" s="25">
        <f>XF!S33</f>
        <v>792</v>
      </c>
      <c r="T441" s="36" t="str">
        <f>XF!T33</f>
        <v>.16-01</v>
      </c>
      <c r="U441" s="31" t="str">
        <f>XF!U33</f>
        <v>keh</v>
      </c>
    </row>
    <row r="442" spans="1:21">
      <c r="A442" s="143" t="str">
        <f>XF!A50</f>
        <v>Voigtlander</v>
      </c>
      <c r="B442" s="11" t="str">
        <f>XF!B50</f>
        <v>50/1.1 Nokton</v>
      </c>
      <c r="C442" s="16">
        <f>XF!C50</f>
        <v>50</v>
      </c>
      <c r="D442" s="18">
        <f>XF!D50</f>
        <v>1.1000000000000001</v>
      </c>
      <c r="E442" s="31">
        <f>XF!E50</f>
        <v>75</v>
      </c>
      <c r="F442" s="16" t="str">
        <f>XF!F50</f>
        <v>LM</v>
      </c>
      <c r="G442" s="58">
        <f>XF!G50</f>
        <v>1</v>
      </c>
      <c r="H442" s="53">
        <f>XF!H50</f>
        <v>0.42799999999999999</v>
      </c>
      <c r="I442" s="16">
        <f>XF!I50</f>
        <v>57</v>
      </c>
      <c r="J442" s="16">
        <f>XF!J50</f>
        <v>69.599999999999994</v>
      </c>
      <c r="K442" s="18">
        <f>XF!K50</f>
        <v>58</v>
      </c>
      <c r="L442" s="25">
        <f>XF!L50</f>
        <v>612</v>
      </c>
      <c r="M442" s="36" t="str">
        <f>XF!M50</f>
        <v>.16-05</v>
      </c>
      <c r="N442" s="25">
        <f>XF!N50</f>
        <v>747.9</v>
      </c>
      <c r="O442" s="73" t="str">
        <f>XF!O50</f>
        <v>.16-05</v>
      </c>
      <c r="P442" s="25">
        <f>XF!P50</f>
        <v>750</v>
      </c>
      <c r="Q442" s="36" t="str">
        <f>XF!Q50</f>
        <v>.15-04</v>
      </c>
      <c r="R442" s="31" t="str">
        <f>XF!R50</f>
        <v>ado</v>
      </c>
      <c r="S442" s="25">
        <f>XF!S50</f>
        <v>810</v>
      </c>
      <c r="T442" s="36" t="str">
        <f>XF!T50</f>
        <v>.16-01</v>
      </c>
      <c r="U442" s="31" t="str">
        <f>XF!U50</f>
        <v>b&amp;h</v>
      </c>
    </row>
    <row r="443" spans="1:21">
      <c r="A443" s="143" t="str">
        <f>XF!A51</f>
        <v>Voigtlander</v>
      </c>
      <c r="B443" s="11" t="str">
        <f>XF!B51</f>
        <v>50/1.5 ASPH  Nokton</v>
      </c>
      <c r="C443" s="16">
        <f>XF!C51</f>
        <v>50</v>
      </c>
      <c r="D443" s="18">
        <f>XF!D51</f>
        <v>1.5</v>
      </c>
      <c r="E443" s="31">
        <f>XF!E51</f>
        <v>75</v>
      </c>
      <c r="F443" s="16" t="str">
        <f>XF!F51</f>
        <v>LTM</v>
      </c>
      <c r="G443" s="58">
        <f>XF!G51</f>
        <v>0.9</v>
      </c>
      <c r="H443" s="53">
        <f>XF!H51</f>
        <v>0.27500000000000002</v>
      </c>
      <c r="I443" s="16">
        <f>XF!I51</f>
        <v>45</v>
      </c>
      <c r="J443" s="16">
        <f>XF!J51</f>
        <v>58</v>
      </c>
      <c r="K443" s="18">
        <f>XF!K51</f>
        <v>52</v>
      </c>
      <c r="L443" s="25">
        <f>XF!L51</f>
        <v>365.81818181818181</v>
      </c>
      <c r="M443" s="36" t="str">
        <f>XF!M51</f>
        <v>.16-05</v>
      </c>
      <c r="N443" s="25">
        <f>XF!N51</f>
        <v>531.20000000000005</v>
      </c>
      <c r="O443" s="73" t="str">
        <f>XF!O51</f>
        <v>.16-05</v>
      </c>
      <c r="P443" s="25">
        <f>XF!P51</f>
        <v>500</v>
      </c>
      <c r="Q443" s="36" t="str">
        <f>XF!Q51</f>
        <v>.16-01</v>
      </c>
      <c r="R443" s="31" t="str">
        <f>XF!R51</f>
        <v>b&amp;h</v>
      </c>
      <c r="S443" s="25">
        <f>XF!S51</f>
        <v>840</v>
      </c>
      <c r="T443" s="36" t="str">
        <f>XF!T51</f>
        <v>.15-04</v>
      </c>
      <c r="U443" s="31" t="str">
        <f>XF!U51</f>
        <v>ado</v>
      </c>
    </row>
    <row r="444" spans="1:21">
      <c r="A444" s="143" t="str">
        <f>XF!A57</f>
        <v>Canon RF</v>
      </c>
      <c r="B444" s="11" t="str">
        <f>XF!B57</f>
        <v>S 50/0.95</v>
      </c>
      <c r="C444" s="16">
        <f>XF!C57</f>
        <v>50</v>
      </c>
      <c r="D444" s="18">
        <f>XF!D57</f>
        <v>0.95</v>
      </c>
      <c r="E444" s="31">
        <f>XF!E57</f>
        <v>75</v>
      </c>
      <c r="F444" s="16" t="str">
        <f>XF!F57</f>
        <v>LTM</v>
      </c>
      <c r="G444" s="58">
        <f>XF!G57</f>
        <v>1.1000000000000001</v>
      </c>
      <c r="H444" s="53">
        <f>XF!H57</f>
        <v>0.60499999999999998</v>
      </c>
      <c r="I444" s="16">
        <f>XF!I57</f>
        <v>47.8</v>
      </c>
      <c r="J444" s="16">
        <f>XF!J57</f>
        <v>79</v>
      </c>
      <c r="K444" s="18">
        <f>XF!K57</f>
        <v>72</v>
      </c>
      <c r="L444" s="25">
        <f>XF!L57</f>
        <v>1966</v>
      </c>
      <c r="M444" s="36" t="str">
        <f>XF!M57</f>
        <v>.16-05</v>
      </c>
      <c r="N444" s="25">
        <f>XF!N57</f>
        <v>2778.3</v>
      </c>
      <c r="O444" s="73" t="str">
        <f>XF!O57</f>
        <v>.16-05</v>
      </c>
      <c r="P444" s="25">
        <f>XF!P57</f>
        <v>1725</v>
      </c>
      <c r="Q444" s="36" t="str">
        <f>XF!Q57</f>
        <v>.13-07</v>
      </c>
      <c r="R444" s="31" t="str">
        <f>XF!R57</f>
        <v>igor</v>
      </c>
      <c r="S444" s="25">
        <f>XF!S57</f>
        <v>2400</v>
      </c>
      <c r="T444" s="36" t="str">
        <f>XF!T57</f>
        <v>.15-06</v>
      </c>
      <c r="U444" s="31" t="str">
        <f>XF!U57</f>
        <v>kevin</v>
      </c>
    </row>
    <row r="445" spans="1:21">
      <c r="A445" s="143" t="str">
        <f>XF!A58</f>
        <v>Canon RF</v>
      </c>
      <c r="B445" s="11" t="str">
        <f>XF!B58</f>
        <v>S 50/1.2</v>
      </c>
      <c r="C445" s="16">
        <f>XF!C58</f>
        <v>50</v>
      </c>
      <c r="D445" s="18">
        <f>XF!D58</f>
        <v>1.2</v>
      </c>
      <c r="E445" s="31">
        <f>XF!E58</f>
        <v>75</v>
      </c>
      <c r="F445" s="16" t="str">
        <f>XF!F58</f>
        <v>LTM</v>
      </c>
      <c r="G445" s="58">
        <f>XF!G58</f>
        <v>1.1000000000000001</v>
      </c>
      <c r="H445" s="53">
        <f>XF!H58</f>
        <v>0.32500000000000001</v>
      </c>
      <c r="I445" s="16">
        <f>XF!I58</f>
        <v>39</v>
      </c>
      <c r="J445" s="16">
        <f>XF!J58</f>
        <v>62</v>
      </c>
      <c r="K445" s="18">
        <f>XF!K58</f>
        <v>55</v>
      </c>
      <c r="L445" s="25">
        <f>XF!L58</f>
        <v>337.27272727272725</v>
      </c>
      <c r="M445" s="36" t="str">
        <f>XF!M58</f>
        <v>.16-05</v>
      </c>
      <c r="N445" s="25">
        <f>XF!N58</f>
        <v>530.79999999999995</v>
      </c>
      <c r="O445" s="73" t="str">
        <f>XF!O58</f>
        <v>.16-05</v>
      </c>
      <c r="P445" s="25">
        <f>XF!P58</f>
        <v>341.24</v>
      </c>
      <c r="Q445" s="36" t="str">
        <f>XF!Q58</f>
        <v>.15-06</v>
      </c>
      <c r="R445" s="31" t="str">
        <f>XF!R58</f>
        <v>ctc</v>
      </c>
      <c r="S445" s="25">
        <f>XF!S58</f>
        <v>900</v>
      </c>
      <c r="T445" s="36" t="str">
        <f>XF!T58</f>
        <v>.15-06</v>
      </c>
      <c r="U445" s="31" t="str">
        <f>XF!U58</f>
        <v>kevin</v>
      </c>
    </row>
    <row r="446" spans="1:21">
      <c r="A446" s="143" t="str">
        <f>XF!A59</f>
        <v>Canon RF</v>
      </c>
      <c r="B446" s="11" t="str">
        <f>XF!B59</f>
        <v>S 50/1.4 II</v>
      </c>
      <c r="C446" s="16">
        <f>XF!C59</f>
        <v>50</v>
      </c>
      <c r="D446" s="18">
        <f>XF!D59</f>
        <v>1.4</v>
      </c>
      <c r="E446" s="31">
        <f>XF!E59</f>
        <v>75</v>
      </c>
      <c r="F446" s="16" t="str">
        <f>XF!F59</f>
        <v>LTM</v>
      </c>
      <c r="G446" s="58">
        <f>XF!G59</f>
        <v>1</v>
      </c>
      <c r="H446" s="53">
        <f>XF!H59</f>
        <v>0.246</v>
      </c>
      <c r="I446" s="16">
        <f>XF!I59</f>
        <v>41.7</v>
      </c>
      <c r="J446" s="16">
        <f>XF!J59</f>
        <v>55</v>
      </c>
      <c r="K446" s="18">
        <f>XF!K59</f>
        <v>48</v>
      </c>
      <c r="L446" s="25">
        <f>XF!L59</f>
        <v>202.18181818181819</v>
      </c>
      <c r="M446" s="36" t="str">
        <f>XF!M59</f>
        <v>.16-05</v>
      </c>
      <c r="N446" s="25">
        <f>XF!N59</f>
        <v>340</v>
      </c>
      <c r="O446" s="73" t="str">
        <f>XF!O59</f>
        <v>.16-05</v>
      </c>
      <c r="P446" s="25">
        <f>XF!P59</f>
        <v>181.64000000000001</v>
      </c>
      <c r="Q446" s="36" t="str">
        <f>XF!Q59</f>
        <v>.16-03</v>
      </c>
      <c r="R446" s="31" t="str">
        <f>XF!R59</f>
        <v>ctc</v>
      </c>
      <c r="S446" s="25">
        <f>XF!S59</f>
        <v>675</v>
      </c>
      <c r="T446" s="36" t="str">
        <f>XF!T59</f>
        <v>.15-06</v>
      </c>
      <c r="U446" s="31" t="str">
        <f>XF!U59</f>
        <v>kevin</v>
      </c>
    </row>
    <row r="447" spans="1:21">
      <c r="A447" s="143" t="str">
        <f>XF!A60</f>
        <v>Canon RF</v>
      </c>
      <c r="B447" s="11" t="str">
        <f>XF!B60</f>
        <v>S 50/1.5 Serenar sv</v>
      </c>
      <c r="C447" s="16">
        <f>XF!C60</f>
        <v>50</v>
      </c>
      <c r="D447" s="18">
        <f>XF!D60</f>
        <v>1.5</v>
      </c>
      <c r="E447" s="31">
        <f>XF!E60</f>
        <v>75</v>
      </c>
      <c r="F447" s="16" t="str">
        <f>XF!F60</f>
        <v>LTM</v>
      </c>
      <c r="G447" s="58">
        <f>XF!G60</f>
        <v>1</v>
      </c>
      <c r="H447" s="53">
        <f>XF!H60</f>
        <v>0.29499999999999998</v>
      </c>
      <c r="I447" s="16" t="str">
        <f>XF!I60</f>
        <v xml:space="preserve"> </v>
      </c>
      <c r="J447" s="16" t="str">
        <f>XF!J60</f>
        <v xml:space="preserve"> </v>
      </c>
      <c r="K447" s="18">
        <f>XF!K60</f>
        <v>40</v>
      </c>
      <c r="L447" s="25">
        <f>XF!L60</f>
        <v>236.83333333333334</v>
      </c>
      <c r="M447" s="36" t="str">
        <f>XF!M60</f>
        <v>.16-05</v>
      </c>
      <c r="N447" s="25">
        <f>XF!N60</f>
        <v>366</v>
      </c>
      <c r="O447" s="73" t="str">
        <f>XF!O60</f>
        <v>.16-03</v>
      </c>
      <c r="P447" s="25">
        <f>XF!P60</f>
        <v>750</v>
      </c>
      <c r="Q447" s="36" t="str">
        <f>XF!Q60</f>
        <v>.15-06</v>
      </c>
      <c r="R447" s="31" t="str">
        <f>XF!R60</f>
        <v>kevin</v>
      </c>
      <c r="S447" s="25">
        <f>XF!S60</f>
        <v>800</v>
      </c>
      <c r="T447" s="36" t="str">
        <f>XF!T60</f>
        <v>.15-06</v>
      </c>
      <c r="U447" s="31" t="str">
        <f>XF!U60</f>
        <v>kevin</v>
      </c>
    </row>
    <row r="448" spans="1:21">
      <c r="A448" s="143" t="str">
        <f>XF!A61</f>
        <v>Canon RF</v>
      </c>
      <c r="B448" s="11" t="str">
        <f>XF!B61</f>
        <v>S 50/1.8 Serenar sv</v>
      </c>
      <c r="C448" s="16">
        <f>XF!C61</f>
        <v>50</v>
      </c>
      <c r="D448" s="18">
        <f>XF!D61</f>
        <v>1.8</v>
      </c>
      <c r="E448" s="31">
        <f>XF!E61</f>
        <v>75</v>
      </c>
      <c r="F448" s="16" t="str">
        <f>XF!F61</f>
        <v>LTM</v>
      </c>
      <c r="G448" s="58">
        <f>XF!G61</f>
        <v>1</v>
      </c>
      <c r="H448" s="53">
        <f>XF!H61</f>
        <v>0.188</v>
      </c>
      <c r="I448" s="16">
        <f>XF!I61</f>
        <v>39.299999999999997</v>
      </c>
      <c r="J448" s="16">
        <f>XF!J61</f>
        <v>48</v>
      </c>
      <c r="K448" s="18">
        <f>XF!K61</f>
        <v>40</v>
      </c>
      <c r="L448" s="25">
        <f>XF!L61</f>
        <v>104.83333333333333</v>
      </c>
      <c r="M448" s="36" t="str">
        <f>XF!M61</f>
        <v>.16-05</v>
      </c>
      <c r="N448" s="25">
        <f>XF!N61</f>
        <v>130.55555555555554</v>
      </c>
      <c r="O448" s="73" t="str">
        <f>XF!O61</f>
        <v>.16-05</v>
      </c>
      <c r="P448" s="25">
        <f>XF!P61</f>
        <v>195</v>
      </c>
      <c r="Q448" s="36" t="str">
        <f>XF!Q61</f>
        <v>.16-01</v>
      </c>
      <c r="R448" s="31" t="str">
        <f>XF!R61</f>
        <v>igor</v>
      </c>
      <c r="S448" s="25">
        <f>XF!S61</f>
        <v>290</v>
      </c>
      <c r="T448" s="36" t="str">
        <f>XF!T61</f>
        <v>.16-01</v>
      </c>
      <c r="U448" s="31" t="str">
        <f>XF!U61</f>
        <v>keh</v>
      </c>
    </row>
    <row r="449" spans="1:21">
      <c r="A449" s="143" t="str">
        <f>XF!A67</f>
        <v>Nikon</v>
      </c>
      <c r="B449" s="11" t="str">
        <f>XF!B67</f>
        <v xml:space="preserve">Nikkor-N 50/1.1 </v>
      </c>
      <c r="C449" s="16">
        <f>XF!C67</f>
        <v>50</v>
      </c>
      <c r="D449" s="18" t="str">
        <f>XF!D67</f>
        <v>1.1</v>
      </c>
      <c r="E449" s="31">
        <f>XF!E67</f>
        <v>75</v>
      </c>
      <c r="F449" s="16" t="str">
        <f>XF!F67</f>
        <v>S</v>
      </c>
      <c r="G449" s="58" t="str">
        <f>XF!G67</f>
        <v xml:space="preserve"> </v>
      </c>
      <c r="H449" s="53" t="str">
        <f>XF!H67</f>
        <v xml:space="preserve"> </v>
      </c>
      <c r="I449" s="16" t="str">
        <f>XF!I67</f>
        <v xml:space="preserve"> </v>
      </c>
      <c r="J449" s="16" t="str">
        <f>XF!J67</f>
        <v xml:space="preserve"> </v>
      </c>
      <c r="K449" s="18" t="str">
        <f>XF!K67</f>
        <v xml:space="preserve"> </v>
      </c>
      <c r="L449" s="25">
        <f>XF!L67</f>
        <v>3860</v>
      </c>
      <c r="M449" s="36" t="str">
        <f>XF!M67</f>
        <v>.12-04</v>
      </c>
      <c r="N449" s="25">
        <f>XF!N67</f>
        <v>4300</v>
      </c>
      <c r="O449" s="73" t="str">
        <f>XF!O67</f>
        <v>.12-02</v>
      </c>
      <c r="P449" s="25" t="str">
        <f>XF!P67</f>
        <v xml:space="preserve"> </v>
      </c>
      <c r="Q449" s="36" t="str">
        <f>XF!Q67</f>
        <v xml:space="preserve"> </v>
      </c>
      <c r="R449" s="31" t="str">
        <f>XF!R67</f>
        <v xml:space="preserve"> </v>
      </c>
      <c r="S449" s="25" t="str">
        <f>XF!S67</f>
        <v xml:space="preserve"> </v>
      </c>
      <c r="T449" s="36" t="str">
        <f>XF!T67</f>
        <v xml:space="preserve"> </v>
      </c>
      <c r="U449" s="31" t="str">
        <f>XF!U67</f>
        <v xml:space="preserve"> </v>
      </c>
    </row>
    <row r="450" spans="1:21">
      <c r="A450" s="143" t="str">
        <f>XF!A13</f>
        <v>Fujifilm</v>
      </c>
      <c r="B450" s="11" t="str">
        <f>XF!B13</f>
        <v>Fujinon XF 56/1.2 R</v>
      </c>
      <c r="C450" s="16">
        <f>XF!C13</f>
        <v>56</v>
      </c>
      <c r="D450" s="18">
        <f>XF!D13</f>
        <v>1.2</v>
      </c>
      <c r="E450" s="31">
        <f>XF!E13</f>
        <v>84</v>
      </c>
      <c r="F450" s="16" t="str">
        <f>XF!F13</f>
        <v>X</v>
      </c>
      <c r="G450" s="58">
        <f>XF!G13</f>
        <v>0.7</v>
      </c>
      <c r="H450" s="53">
        <f>XF!H13</f>
        <v>0.40500000000000003</v>
      </c>
      <c r="I450" s="16">
        <f>XF!I13</f>
        <v>69.7</v>
      </c>
      <c r="J450" s="16">
        <f>XF!J13</f>
        <v>73.2</v>
      </c>
      <c r="K450" s="18">
        <f>XF!K13</f>
        <v>62</v>
      </c>
      <c r="L450" s="25">
        <f>XF!L13</f>
        <v>642.36363636363637</v>
      </c>
      <c r="M450" s="36" t="str">
        <f>XF!M13</f>
        <v>.16-05</v>
      </c>
      <c r="N450" s="25">
        <f>XF!N13</f>
        <v>726.77777777777783</v>
      </c>
      <c r="O450" s="73" t="str">
        <f>XF!O13</f>
        <v>.16-05</v>
      </c>
      <c r="P450" s="25" t="str">
        <f>XF!P13</f>
        <v xml:space="preserve"> </v>
      </c>
      <c r="Q450" s="36" t="str">
        <f>XF!Q13</f>
        <v xml:space="preserve"> </v>
      </c>
      <c r="R450" s="31" t="str">
        <f>XF!R13</f>
        <v xml:space="preserve"> </v>
      </c>
      <c r="S450" s="25">
        <f>XF!S13</f>
        <v>850</v>
      </c>
      <c r="T450" s="36" t="str">
        <f>XF!T13</f>
        <v>.16-01</v>
      </c>
      <c r="U450" s="31" t="str">
        <f>XF!U13</f>
        <v>ado</v>
      </c>
    </row>
    <row r="451" spans="1:21">
      <c r="A451" s="143" t="str">
        <f>XF!A14</f>
        <v>Fujifilm</v>
      </c>
      <c r="B451" s="11" t="str">
        <f>XF!B14</f>
        <v>Fujinon XF 56/1.2 R APD</v>
      </c>
      <c r="C451" s="16">
        <f>XF!C14</f>
        <v>56</v>
      </c>
      <c r="D451" s="18">
        <f>XF!D14</f>
        <v>1.2</v>
      </c>
      <c r="E451" s="31">
        <f>XF!E14</f>
        <v>84</v>
      </c>
      <c r="F451" s="16" t="str">
        <f>XF!F14</f>
        <v>X</v>
      </c>
      <c r="G451" s="58">
        <f>XF!G14</f>
        <v>0.7</v>
      </c>
      <c r="H451" s="53">
        <f>XF!H14</f>
        <v>0.40500000000000003</v>
      </c>
      <c r="I451" s="16">
        <f>XF!I14</f>
        <v>69.7</v>
      </c>
      <c r="J451" s="16">
        <f>XF!J14</f>
        <v>73.2</v>
      </c>
      <c r="K451" s="18">
        <f>XF!K14</f>
        <v>62</v>
      </c>
      <c r="L451" s="25">
        <f>XF!L14</f>
        <v>693.4</v>
      </c>
      <c r="M451" s="36" t="str">
        <f>XF!M14</f>
        <v>.16-03</v>
      </c>
      <c r="N451" s="25">
        <f>XF!N14</f>
        <v>745.44444444444446</v>
      </c>
      <c r="O451" s="73" t="str">
        <f>XF!O14</f>
        <v>.16-04</v>
      </c>
      <c r="P451" s="25">
        <f>XF!P14</f>
        <v>1050</v>
      </c>
      <c r="Q451" s="36" t="str">
        <f>XF!Q14</f>
        <v>.15-04</v>
      </c>
      <c r="R451" s="31" t="str">
        <f>XF!R14</f>
        <v>b&amp;h</v>
      </c>
      <c r="S451" s="25">
        <f>XF!S14</f>
        <v>1120</v>
      </c>
      <c r="T451" s="36" t="str">
        <f>XF!T14</f>
        <v>.16-01</v>
      </c>
      <c r="U451" s="31" t="str">
        <f>XF!U14</f>
        <v>LA</v>
      </c>
    </row>
    <row r="452" spans="1:21">
      <c r="A452" s="144" t="str">
        <f>XF!A15</f>
        <v>Fujifilm</v>
      </c>
      <c r="B452" s="22" t="str">
        <f>XF!B15</f>
        <v>Fujinon XF 60/2.4 R Macro</v>
      </c>
      <c r="C452" s="27">
        <f>XF!C15</f>
        <v>60</v>
      </c>
      <c r="D452" s="41">
        <f>XF!D15</f>
        <v>2.4</v>
      </c>
      <c r="E452" s="33">
        <f>XF!E15</f>
        <v>90</v>
      </c>
      <c r="F452" s="27" t="str">
        <f>XF!F15</f>
        <v>X</v>
      </c>
      <c r="G452" s="55">
        <f>XF!G15</f>
        <v>0.27</v>
      </c>
      <c r="H452" s="56">
        <f>XF!H15</f>
        <v>0.215</v>
      </c>
      <c r="I452" s="27">
        <f>XF!I15</f>
        <v>70.900000000000006</v>
      </c>
      <c r="J452" s="27">
        <f>XF!J15</f>
        <v>64.099999999999994</v>
      </c>
      <c r="K452" s="41">
        <f>XF!K15</f>
        <v>39</v>
      </c>
      <c r="L452" s="26">
        <f>XF!L15</f>
        <v>287.76923076923077</v>
      </c>
      <c r="M452" s="24" t="str">
        <f>XF!M15</f>
        <v>.16-05</v>
      </c>
      <c r="N452" s="26">
        <f>XF!N15</f>
        <v>374.3</v>
      </c>
      <c r="O452" s="124" t="str">
        <f>XF!O15</f>
        <v>.16-05</v>
      </c>
      <c r="P452" s="26">
        <f>XF!P15</f>
        <v>340</v>
      </c>
      <c r="Q452" s="24" t="str">
        <f>XF!Q15</f>
        <v>.16-01</v>
      </c>
      <c r="R452" s="33" t="str">
        <f>XF!R15</f>
        <v>ado</v>
      </c>
      <c r="S452" s="26">
        <f>XF!S15</f>
        <v>342</v>
      </c>
      <c r="T452" s="24" t="str">
        <f>XF!T15</f>
        <v>.16-03</v>
      </c>
      <c r="U452" s="33" t="str">
        <f>XF!U15</f>
        <v>camtec</v>
      </c>
    </row>
    <row r="453" spans="1:21">
      <c r="A453" s="143" t="str">
        <f>XF!A52</f>
        <v>Voigtlander</v>
      </c>
      <c r="B453" s="11" t="str">
        <f>XF!B52</f>
        <v>75/1.8 Heliar Classic</v>
      </c>
      <c r="C453" s="16">
        <f>XF!C52</f>
        <v>75</v>
      </c>
      <c r="D453" s="18">
        <f>XF!D52</f>
        <v>1.8</v>
      </c>
      <c r="E453" s="31">
        <f>XF!E52</f>
        <v>112.5</v>
      </c>
      <c r="F453" s="16" t="str">
        <f>XF!F52</f>
        <v>LM</v>
      </c>
      <c r="G453" s="58">
        <f>XF!G52</f>
        <v>0.9</v>
      </c>
      <c r="H453" s="53">
        <f>XF!H52</f>
        <v>0.42699999999999999</v>
      </c>
      <c r="I453" s="16">
        <f>XF!I52</f>
        <v>73.8</v>
      </c>
      <c r="J453" s="16">
        <f>XF!J52</f>
        <v>57.9</v>
      </c>
      <c r="K453" s="18">
        <f>XF!K52</f>
        <v>52</v>
      </c>
      <c r="L453" s="25">
        <f>XF!L52</f>
        <v>453.1</v>
      </c>
      <c r="M453" s="36" t="str">
        <f>XF!M52</f>
        <v>.16-05</v>
      </c>
      <c r="N453" s="25">
        <f>XF!N52</f>
        <v>548.88888888888891</v>
      </c>
      <c r="O453" s="73" t="str">
        <f>XF!O52</f>
        <v>.16-03</v>
      </c>
      <c r="P453" s="25">
        <f>XF!P52</f>
        <v>590</v>
      </c>
      <c r="Q453" s="36" t="str">
        <f>XF!Q52</f>
        <v>.16-01</v>
      </c>
      <c r="R453" s="31" t="str">
        <f>XF!R52</f>
        <v>b&amp;h</v>
      </c>
      <c r="S453" s="25">
        <f>XF!S52</f>
        <v>733</v>
      </c>
      <c r="T453" s="36" t="str">
        <f>XF!T52</f>
        <v>.13-04</v>
      </c>
      <c r="U453" s="31" t="str">
        <f>XF!U52</f>
        <v>camtec</v>
      </c>
    </row>
    <row r="454" spans="1:21">
      <c r="A454" s="143" t="str">
        <f>XF!A62</f>
        <v>Canon RF</v>
      </c>
      <c r="B454" s="11" t="str">
        <f>XF!B62</f>
        <v>S 85/1.5 Serenar sv</v>
      </c>
      <c r="C454" s="16">
        <f>XF!C62</f>
        <v>85</v>
      </c>
      <c r="D454" s="18">
        <f>XF!D62</f>
        <v>1.5</v>
      </c>
      <c r="E454" s="31">
        <f>XF!E62</f>
        <v>127.5</v>
      </c>
      <c r="F454" s="16" t="str">
        <f>XF!F62</f>
        <v>LTM</v>
      </c>
      <c r="G454" s="58">
        <f>XF!G62</f>
        <v>1</v>
      </c>
      <c r="H454" s="53">
        <f>XF!H62</f>
        <v>0.73</v>
      </c>
      <c r="I454" s="16">
        <f>XF!I62</f>
        <v>82.5</v>
      </c>
      <c r="J454" s="16">
        <f>XF!J62</f>
        <v>62.5</v>
      </c>
      <c r="K454" s="18">
        <f>XF!K62</f>
        <v>60</v>
      </c>
      <c r="L454" s="25">
        <f>XF!L62</f>
        <v>0</v>
      </c>
      <c r="M454" s="36" t="str">
        <f>XF!M62</f>
        <v xml:space="preserve"> </v>
      </c>
      <c r="N454" s="25">
        <f>XF!N62</f>
        <v>0</v>
      </c>
      <c r="O454" s="73" t="str">
        <f>XF!O62</f>
        <v xml:space="preserve"> </v>
      </c>
      <c r="P454" s="25" t="str">
        <f>XF!P62</f>
        <v xml:space="preserve"> </v>
      </c>
      <c r="Q454" s="36" t="str">
        <f>XF!Q62</f>
        <v xml:space="preserve"> </v>
      </c>
      <c r="R454" s="31" t="str">
        <f>XF!R62</f>
        <v xml:space="preserve"> </v>
      </c>
      <c r="S454" s="25" t="str">
        <f>XF!S62</f>
        <v xml:space="preserve"> </v>
      </c>
      <c r="T454" s="36" t="str">
        <f>XF!T62</f>
        <v xml:space="preserve"> </v>
      </c>
      <c r="U454" s="31" t="str">
        <f>XF!U62</f>
        <v xml:space="preserve"> </v>
      </c>
    </row>
    <row r="455" spans="1:21">
      <c r="A455" s="143" t="str">
        <f>XF!A63</f>
        <v>Canon RF</v>
      </c>
      <c r="B455" s="11" t="str">
        <f>XF!B63</f>
        <v xml:space="preserve">S 85/1.8 </v>
      </c>
      <c r="C455" s="16">
        <f>XF!C63</f>
        <v>85</v>
      </c>
      <c r="D455" s="18">
        <f>XF!D63</f>
        <v>1.8</v>
      </c>
      <c r="E455" s="31">
        <f>XF!E63</f>
        <v>127.5</v>
      </c>
      <c r="F455" s="16" t="str">
        <f>XF!F63</f>
        <v>LTM</v>
      </c>
      <c r="G455" s="58">
        <f>XF!G63</f>
        <v>1</v>
      </c>
      <c r="H455" s="53">
        <f>XF!H63</f>
        <v>0.47</v>
      </c>
      <c r="I455" s="16">
        <f>XF!I63</f>
        <v>68.2</v>
      </c>
      <c r="J455" s="16">
        <f>XF!J63</f>
        <v>63.5</v>
      </c>
      <c r="K455" s="18">
        <f>XF!K63</f>
        <v>58</v>
      </c>
      <c r="L455" s="25">
        <f>XF!L63</f>
        <v>697.5</v>
      </c>
      <c r="M455" s="36" t="str">
        <f>XF!M63</f>
        <v>.16-05</v>
      </c>
      <c r="N455" s="25">
        <f>XF!N63</f>
        <v>1144</v>
      </c>
      <c r="O455" s="73" t="str">
        <f>XF!O63</f>
        <v>.16-04</v>
      </c>
      <c r="P455" s="25">
        <f>XF!P63</f>
        <v>750</v>
      </c>
      <c r="Q455" s="36" t="str">
        <f>XF!Q63</f>
        <v>.15-06</v>
      </c>
      <c r="R455" s="31" t="str">
        <f>XF!R63</f>
        <v>kevin</v>
      </c>
      <c r="S455" s="25">
        <f>XF!S63</f>
        <v>1300</v>
      </c>
      <c r="T455" s="36" t="str">
        <f>XF!T63</f>
        <v>.15-06</v>
      </c>
      <c r="U455" s="31" t="str">
        <f>XF!U63</f>
        <v>kevin</v>
      </c>
    </row>
    <row r="456" spans="1:21">
      <c r="A456" s="143" t="str">
        <f>XF!A16</f>
        <v>Fujifilm</v>
      </c>
      <c r="B456" s="11" t="str">
        <f>XF!B16</f>
        <v>Fujinon XF 90/2 R</v>
      </c>
      <c r="C456" s="16">
        <f>XF!C16</f>
        <v>90</v>
      </c>
      <c r="D456" s="18">
        <f>XF!D16</f>
        <v>2</v>
      </c>
      <c r="E456" s="31">
        <f>XF!E16</f>
        <v>135</v>
      </c>
      <c r="F456" s="16" t="str">
        <f>XF!F16</f>
        <v>X</v>
      </c>
      <c r="G456" s="58">
        <f>XF!G16</f>
        <v>0.6</v>
      </c>
      <c r="H456" s="53">
        <f>XF!H16</f>
        <v>0.54</v>
      </c>
      <c r="I456" s="16">
        <f>XF!I16</f>
        <v>105</v>
      </c>
      <c r="J456" s="16">
        <f>XF!J16</f>
        <v>75</v>
      </c>
      <c r="K456" s="18">
        <f>XF!K16</f>
        <v>62</v>
      </c>
      <c r="L456" s="25">
        <f>XF!L16</f>
        <v>682.4</v>
      </c>
      <c r="M456" s="36" t="str">
        <f>XF!M16</f>
        <v>.16-05</v>
      </c>
      <c r="N456" s="25">
        <f>XF!N16</f>
        <v>778</v>
      </c>
      <c r="O456" s="73" t="str">
        <f>XF!O16</f>
        <v>.16-05</v>
      </c>
      <c r="P456" s="25" t="str">
        <f>XF!P16</f>
        <v xml:space="preserve"> </v>
      </c>
      <c r="Q456" s="36" t="str">
        <f>XF!Q16</f>
        <v xml:space="preserve"> </v>
      </c>
      <c r="R456" s="31" t="str">
        <f>XF!R16</f>
        <v xml:space="preserve"> </v>
      </c>
      <c r="S456" s="25" t="str">
        <f>XF!S16</f>
        <v xml:space="preserve"> </v>
      </c>
      <c r="T456" s="36" t="str">
        <f>XF!T16</f>
        <v xml:space="preserve"> </v>
      </c>
      <c r="U456" s="31" t="str">
        <f>XF!U16</f>
        <v xml:space="preserve"> </v>
      </c>
    </row>
    <row r="457" spans="1:21">
      <c r="A457" s="143" t="str">
        <f>XF!A64</f>
        <v>Canon RF</v>
      </c>
      <c r="B457" s="11" t="str">
        <f>XF!B64</f>
        <v>S 100/2</v>
      </c>
      <c r="C457" s="16">
        <f>XF!C64</f>
        <v>100</v>
      </c>
      <c r="D457" s="18">
        <f>XF!D64</f>
        <v>2</v>
      </c>
      <c r="E457" s="31">
        <f>XF!E64</f>
        <v>150</v>
      </c>
      <c r="F457" s="16" t="str">
        <f>XF!F64</f>
        <v>LTM</v>
      </c>
      <c r="G457" s="58">
        <f>XF!G64</f>
        <v>1</v>
      </c>
      <c r="H457" s="53">
        <f>XF!H64</f>
        <v>0.51500000000000001</v>
      </c>
      <c r="I457" s="16">
        <f>XF!I64</f>
        <v>91</v>
      </c>
      <c r="J457" s="16">
        <f>XF!J64</f>
        <v>63</v>
      </c>
      <c r="K457" s="18">
        <f>XF!K64</f>
        <v>58</v>
      </c>
      <c r="L457" s="25">
        <f>XF!L64</f>
        <v>385.66666666666669</v>
      </c>
      <c r="M457" s="36" t="str">
        <f>XF!M64</f>
        <v>.16-05</v>
      </c>
      <c r="N457" s="25">
        <f>XF!N64</f>
        <v>566.75</v>
      </c>
      <c r="O457" s="73" t="str">
        <f>XF!O64</f>
        <v>.16-05</v>
      </c>
      <c r="P457" s="25">
        <f>XF!P64</f>
        <v>545</v>
      </c>
      <c r="Q457" s="36" t="str">
        <f>XF!Q64</f>
        <v>.15-06</v>
      </c>
      <c r="R457" s="31" t="str">
        <f>XF!R64</f>
        <v>igor</v>
      </c>
      <c r="S457" s="25" t="str">
        <f>XF!S64</f>
        <v xml:space="preserve"> </v>
      </c>
      <c r="T457" s="36" t="str">
        <f>XF!T64</f>
        <v xml:space="preserve"> </v>
      </c>
      <c r="U457" s="31" t="str">
        <f>XF!U64</f>
        <v xml:space="preserve"> </v>
      </c>
    </row>
    <row r="458" spans="1:21">
      <c r="A458" s="144" t="str">
        <f>XF!A65</f>
        <v>Canon RF</v>
      </c>
      <c r="B458" s="22" t="str">
        <f>XF!B65</f>
        <v>S 135/3.5 III</v>
      </c>
      <c r="C458" s="27">
        <f>XF!C65</f>
        <v>135</v>
      </c>
      <c r="D458" s="41">
        <f>XF!D65</f>
        <v>3.5</v>
      </c>
      <c r="E458" s="33">
        <f>XF!E65</f>
        <v>202.5</v>
      </c>
      <c r="F458" s="27" t="str">
        <f>XF!F65</f>
        <v>LTM</v>
      </c>
      <c r="G458" s="55">
        <f>XF!G65</f>
        <v>1.5</v>
      </c>
      <c r="H458" s="56">
        <f>XF!H65</f>
        <v>0.42399999999999999</v>
      </c>
      <c r="I458" s="27">
        <f>XF!I65</f>
        <v>97</v>
      </c>
      <c r="J458" s="27">
        <f>XF!J65</f>
        <v>54</v>
      </c>
      <c r="K458" s="41">
        <f>XF!K65</f>
        <v>48</v>
      </c>
      <c r="L458" s="26">
        <f>XF!L65</f>
        <v>64.333333333333329</v>
      </c>
      <c r="M458" s="24" t="str">
        <f>XF!M65</f>
        <v>.15-07</v>
      </c>
      <c r="N458" s="26">
        <f>XF!N65</f>
        <v>129.28571428571428</v>
      </c>
      <c r="O458" s="124" t="str">
        <f>XF!O65</f>
        <v>.16-05</v>
      </c>
      <c r="P458" s="26">
        <f>XF!P65</f>
        <v>133</v>
      </c>
      <c r="Q458" s="24" t="str">
        <f>XF!Q65</f>
        <v>.16-05</v>
      </c>
      <c r="R458" s="33" t="str">
        <f>XF!R65</f>
        <v>v.v</v>
      </c>
      <c r="S458" s="26" t="str">
        <f>XF!S65</f>
        <v xml:space="preserve"> </v>
      </c>
      <c r="T458" s="24" t="str">
        <f>XF!T65</f>
        <v xml:space="preserve"> </v>
      </c>
      <c r="U458" s="33" t="str">
        <f>XF!U65</f>
        <v xml:space="preserve"> </v>
      </c>
    </row>
  </sheetData>
  <sheetProtection password="990B" sheet="1" objects="1" scenarios="1"/>
  <sortState ref="A415:W458">
    <sortCondition ref="C415:C45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vt:lpstr>
      <vt:lpstr>EFp</vt:lpstr>
      <vt:lpstr>EFz</vt:lpstr>
      <vt:lpstr>STT</vt:lpstr>
      <vt:lpstr>CZ.V</vt:lpstr>
      <vt:lpstr>LNOP</vt:lpstr>
      <vt:lpstr>645</vt:lpstr>
      <vt:lpstr>XF</vt:lpstr>
      <vt:lpstr>all.p</vt:lpstr>
      <vt:lpstr>all.z</vt:lpstr>
      <vt:lpstr>compare</vt:lpstr>
      <vt:lpstr>CA.US</vt:lpstr>
      <vt:lpstr>'645'!Print_Titles</vt:lpstr>
      <vt:lpstr>compare!Print_Titles</vt:lpstr>
      <vt:lpstr>CZ.V!Print_Titles</vt:lpstr>
      <vt:lpstr>EFp!Print_Titles</vt:lpstr>
      <vt:lpstr>EFz!Print_Titles</vt:lpstr>
      <vt:lpstr>i!Print_Titles</vt:lpstr>
      <vt:lpstr>LNOP!Print_Titles</vt:lpstr>
      <vt:lpstr>STT!Print_Titles</vt:lpstr>
      <vt:lpstr>XF!Print_Titles</vt:lpstr>
    </vt:vector>
  </TitlesOfParts>
  <Company>DRDC Atlantic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 Colwell</dc:creator>
  <cp:lastModifiedBy>James Colwell</cp:lastModifiedBy>
  <cp:lastPrinted>2016-06-02T20:30:47Z</cp:lastPrinted>
  <dcterms:created xsi:type="dcterms:W3CDTF">2006-02-03T12:48:50Z</dcterms:created>
  <dcterms:modified xsi:type="dcterms:W3CDTF">2016-06-04T12:17:10Z</dcterms:modified>
</cp:coreProperties>
</file>