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25" yWindow="0" windowWidth="13515" windowHeight="18660"/>
  </bookViews>
  <sheets>
    <sheet name="i" sheetId="1" r:id="rId1"/>
    <sheet name="EFp" sheetId="3" r:id="rId2"/>
    <sheet name="EFz" sheetId="4" r:id="rId3"/>
    <sheet name="STT" sheetId="5" r:id="rId4"/>
    <sheet name="CZ.V" sheetId="7" r:id="rId5"/>
    <sheet name="LNOP" sheetId="18" r:id="rId6"/>
    <sheet name="645" sheetId="14" r:id="rId7"/>
    <sheet name="XF" sheetId="21" r:id="rId8"/>
    <sheet name="compare" sheetId="19" r:id="rId9"/>
  </sheets>
  <definedNames>
    <definedName name="CA.US">i!$A$58</definedName>
    <definedName name="_xlnm.Print_Titles" localSheetId="6">'645'!$1:$5</definedName>
    <definedName name="_xlnm.Print_Titles" localSheetId="8">compare!$1:$5</definedName>
    <definedName name="_xlnm.Print_Titles" localSheetId="4">CZ.V!$1:$5</definedName>
    <definedName name="_xlnm.Print_Titles" localSheetId="1">EFp!$1:$5</definedName>
    <definedName name="_xlnm.Print_Titles" localSheetId="2">EFz!$1:$5</definedName>
    <definedName name="_xlnm.Print_Titles" localSheetId="0">i!$1:$3</definedName>
    <definedName name="_xlnm.Print_Titles" localSheetId="5">LNOP!$1:$5</definedName>
    <definedName name="_xlnm.Print_Titles" localSheetId="3">STT!$1:$5</definedName>
    <definedName name="_xlnm.Print_Titles" localSheetId="7">XF!$1:$5</definedName>
  </definedNames>
  <calcPr calcId="145621"/>
</workbook>
</file>

<file path=xl/calcChain.xml><?xml version="1.0" encoding="utf-8"?>
<calcChain xmlns="http://schemas.openxmlformats.org/spreadsheetml/2006/main">
  <c r="A2" i="4" l="1"/>
  <c r="A2" i="5"/>
  <c r="A2" i="7"/>
  <c r="A2" i="18"/>
  <c r="A2" i="14"/>
  <c r="A2" i="21"/>
  <c r="A2" i="19"/>
  <c r="A2" i="3"/>
  <c r="L177" i="18" l="1"/>
  <c r="N177" i="18"/>
  <c r="N179" i="18" l="1"/>
  <c r="L68" i="7"/>
  <c r="L42" i="5"/>
  <c r="N17" i="21"/>
  <c r="L50" i="18"/>
  <c r="L28" i="3"/>
  <c r="L31" i="4"/>
  <c r="N93" i="5"/>
  <c r="N49" i="3"/>
  <c r="L56" i="21"/>
  <c r="L190" i="18"/>
  <c r="L54" i="5"/>
  <c r="N54" i="5"/>
  <c r="N51" i="5"/>
  <c r="N50" i="5"/>
  <c r="L51" i="5"/>
  <c r="L50" i="5"/>
  <c r="N21" i="4"/>
  <c r="L37" i="7"/>
  <c r="L22" i="3"/>
  <c r="L89" i="7"/>
  <c r="L14" i="21"/>
  <c r="N8" i="18"/>
  <c r="L8" i="18"/>
  <c r="N7" i="18"/>
  <c r="E8" i="18"/>
  <c r="E9" i="18"/>
  <c r="E7" i="18"/>
  <c r="L7" i="18"/>
  <c r="L51" i="18" l="1"/>
  <c r="N73" i="18"/>
  <c r="N50" i="7"/>
  <c r="N9" i="21"/>
  <c r="N19" i="21"/>
  <c r="L14" i="4"/>
  <c r="L85" i="5"/>
  <c r="L43" i="3"/>
  <c r="L80" i="5"/>
  <c r="L41" i="3"/>
  <c r="N165" i="18" l="1"/>
  <c r="L166" i="18"/>
  <c r="L159" i="18"/>
  <c r="L163" i="18"/>
  <c r="L162" i="18"/>
  <c r="N160" i="18"/>
  <c r="L174" i="18"/>
  <c r="L154" i="18"/>
  <c r="N154" i="18"/>
  <c r="L151" i="18"/>
  <c r="L152" i="18"/>
  <c r="L148" i="18"/>
  <c r="N148" i="18"/>
  <c r="L143" i="18"/>
  <c r="N137" i="18"/>
  <c r="L137" i="18"/>
  <c r="L70" i="18"/>
  <c r="L71" i="18"/>
  <c r="N67" i="18"/>
  <c r="L67" i="18"/>
  <c r="L68" i="18"/>
  <c r="N68" i="18"/>
  <c r="L66" i="18"/>
  <c r="N66" i="18"/>
  <c r="L56" i="18"/>
  <c r="L47" i="18"/>
  <c r="N37" i="18"/>
  <c r="N38" i="18"/>
  <c r="L40" i="18"/>
  <c r="L34" i="18"/>
  <c r="N29" i="18"/>
  <c r="N34" i="18"/>
  <c r="N26" i="18"/>
  <c r="L15" i="18"/>
  <c r="N36" i="18"/>
  <c r="N23" i="18"/>
  <c r="L20" i="18"/>
  <c r="N21" i="18"/>
  <c r="N31" i="18"/>
  <c r="N27" i="18"/>
  <c r="N22" i="18"/>
  <c r="L21" i="18"/>
  <c r="L24" i="18"/>
  <c r="N108" i="7"/>
  <c r="N112" i="7"/>
  <c r="N110" i="7"/>
  <c r="L106" i="7"/>
  <c r="N106" i="7"/>
  <c r="L67" i="7"/>
  <c r="N67" i="7"/>
  <c r="N69" i="7"/>
  <c r="L81" i="7"/>
  <c r="N81" i="7"/>
  <c r="N63" i="7"/>
  <c r="N73" i="7"/>
  <c r="L63" i="7"/>
  <c r="L73" i="7"/>
  <c r="N61" i="7"/>
  <c r="L61" i="7"/>
  <c r="L60" i="7"/>
  <c r="L52" i="7"/>
  <c r="L40" i="7"/>
  <c r="N32" i="7"/>
  <c r="L32" i="7"/>
  <c r="N16" i="7"/>
  <c r="N15" i="7"/>
  <c r="L15" i="7"/>
  <c r="L16" i="7"/>
  <c r="N10" i="7"/>
  <c r="N8" i="7"/>
  <c r="N11" i="7"/>
  <c r="L104" i="5"/>
  <c r="N104" i="5"/>
  <c r="L103" i="5"/>
  <c r="L97" i="5"/>
  <c r="L86" i="5"/>
  <c r="N85" i="5"/>
  <c r="N90" i="5"/>
  <c r="L90" i="5"/>
  <c r="L89" i="5"/>
  <c r="L62" i="5"/>
  <c r="L59" i="5"/>
  <c r="L58" i="5"/>
  <c r="L25" i="5"/>
  <c r="N25" i="5"/>
  <c r="L39" i="5"/>
  <c r="L38" i="5"/>
  <c r="N40" i="5"/>
  <c r="N38" i="5"/>
  <c r="L24" i="5"/>
  <c r="L23" i="5"/>
  <c r="N25" i="4"/>
  <c r="N26" i="5"/>
  <c r="L63" i="3"/>
  <c r="L44" i="3"/>
  <c r="N44" i="3"/>
  <c r="N33" i="14"/>
  <c r="N30" i="14"/>
  <c r="L30" i="14"/>
  <c r="N29" i="14"/>
  <c r="L29" i="14"/>
  <c r="N24" i="14"/>
  <c r="N27" i="14"/>
  <c r="L26" i="14"/>
  <c r="L22" i="14"/>
  <c r="N22" i="14"/>
  <c r="N23" i="14"/>
  <c r="L11" i="14"/>
  <c r="N20" i="14"/>
  <c r="N12" i="14"/>
  <c r="L12" i="14"/>
  <c r="L13" i="14"/>
  <c r="N13" i="14"/>
  <c r="N15" i="14"/>
  <c r="E50" i="5"/>
  <c r="S26" i="21"/>
  <c r="S25" i="21"/>
  <c r="P71" i="3"/>
  <c r="P66" i="5"/>
  <c r="P42" i="4"/>
  <c r="P11" i="21"/>
  <c r="P24" i="21"/>
  <c r="E34" i="21" l="1"/>
  <c r="L123" i="18"/>
  <c r="N123" i="18"/>
  <c r="L27" i="3"/>
  <c r="N36" i="4"/>
  <c r="L45" i="4"/>
  <c r="L42" i="3" l="1"/>
  <c r="L40" i="3"/>
  <c r="N188" i="18"/>
  <c r="N42" i="3"/>
  <c r="N41" i="3"/>
  <c r="N40" i="3"/>
  <c r="L32" i="4"/>
  <c r="L72" i="18"/>
  <c r="L33" i="4"/>
  <c r="N11" i="21"/>
  <c r="N17" i="4"/>
  <c r="L40" i="4"/>
  <c r="L91" i="7"/>
  <c r="N46" i="14"/>
  <c r="L61" i="3"/>
  <c r="L54" i="3"/>
  <c r="L12" i="4"/>
  <c r="N12" i="4"/>
  <c r="L16" i="21"/>
  <c r="L37" i="3"/>
  <c r="N57" i="3"/>
  <c r="L77" i="5"/>
  <c r="N46" i="7"/>
  <c r="L46" i="7"/>
  <c r="L48" i="7"/>
  <c r="L99" i="7"/>
  <c r="N9" i="14"/>
  <c r="L29" i="21"/>
  <c r="L103" i="7"/>
  <c r="N18" i="3"/>
  <c r="N81" i="18"/>
  <c r="L7" i="5"/>
  <c r="L50" i="3"/>
  <c r="N76" i="3"/>
  <c r="N38" i="7"/>
  <c r="N28" i="18"/>
  <c r="L89" i="18"/>
  <c r="N6" i="21"/>
  <c r="L7" i="14" l="1"/>
  <c r="L25" i="7"/>
  <c r="L7" i="4"/>
  <c r="N10" i="3"/>
  <c r="N25" i="18"/>
  <c r="N26" i="3"/>
  <c r="N10" i="21"/>
  <c r="L35" i="7"/>
  <c r="L36" i="3"/>
  <c r="N59" i="18"/>
  <c r="L87" i="7"/>
  <c r="N187" i="18"/>
  <c r="L45" i="21"/>
  <c r="N54" i="3"/>
  <c r="N189" i="18" l="1"/>
  <c r="L186" i="18"/>
  <c r="N186" i="18"/>
  <c r="N182" i="18"/>
  <c r="L184" i="18"/>
  <c r="N184" i="18"/>
  <c r="N171" i="18"/>
  <c r="L168" i="18"/>
  <c r="N169" i="18"/>
  <c r="N168" i="18" l="1"/>
  <c r="L164" i="18"/>
  <c r="L158" i="18"/>
  <c r="N157" i="18"/>
  <c r="L9" i="21"/>
  <c r="L147" i="18"/>
  <c r="L146" i="18"/>
  <c r="L145" i="18"/>
  <c r="N145" i="18"/>
  <c r="L144" i="18"/>
  <c r="L140" i="18"/>
  <c r="A25" i="19" l="1"/>
  <c r="B25" i="19"/>
  <c r="C25" i="19"/>
  <c r="D25" i="19"/>
  <c r="E25" i="19"/>
  <c r="F25" i="19"/>
  <c r="G25" i="19"/>
  <c r="H25" i="19"/>
  <c r="I25" i="19"/>
  <c r="J25" i="19"/>
  <c r="K25" i="19"/>
  <c r="M25" i="19"/>
  <c r="O25" i="19"/>
  <c r="Q25" i="19"/>
  <c r="R25" i="19"/>
  <c r="S25" i="19"/>
  <c r="T25" i="19"/>
  <c r="U25" i="19"/>
  <c r="W25" i="19" l="1"/>
  <c r="N138" i="18"/>
  <c r="N25" i="19" s="1"/>
  <c r="L136" i="18"/>
  <c r="N133" i="18"/>
  <c r="L133" i="18"/>
  <c r="L132" i="18"/>
  <c r="N107" i="18"/>
  <c r="N132" i="18"/>
  <c r="N131" i="18"/>
  <c r="L129" i="18"/>
  <c r="L126" i="18"/>
  <c r="N127" i="18"/>
  <c r="L124" i="18"/>
  <c r="N124" i="18"/>
  <c r="L122" i="18"/>
  <c r="N122" i="18"/>
  <c r="L121" i="18"/>
  <c r="N120" i="18"/>
  <c r="L117" i="18"/>
  <c r="N117" i="18"/>
  <c r="L116" i="18"/>
  <c r="N103" i="18"/>
  <c r="L115" i="18"/>
  <c r="N113" i="18"/>
  <c r="N110" i="18"/>
  <c r="L106" i="18"/>
  <c r="N105" i="18"/>
  <c r="L104" i="18"/>
  <c r="L103" i="18"/>
  <c r="L102" i="18"/>
  <c r="L101" i="18"/>
  <c r="N100" i="18"/>
  <c r="N97" i="18"/>
  <c r="L97" i="18"/>
  <c r="N96" i="18"/>
  <c r="L95" i="18"/>
  <c r="L92" i="18"/>
  <c r="L55" i="5"/>
  <c r="L90" i="18"/>
  <c r="N86" i="18"/>
  <c r="N84" i="18"/>
  <c r="L84" i="18"/>
  <c r="L78" i="18"/>
  <c r="L79" i="18"/>
  <c r="N78" i="18"/>
  <c r="N77" i="18"/>
  <c r="N79" i="18"/>
  <c r="L77" i="18"/>
  <c r="N72" i="18"/>
  <c r="N69" i="18"/>
  <c r="L69" i="18"/>
  <c r="L49" i="18"/>
  <c r="N43" i="18"/>
  <c r="N42" i="18"/>
  <c r="N40" i="18"/>
  <c r="N30" i="18"/>
  <c r="L30" i="18"/>
  <c r="L25" i="18"/>
  <c r="L26" i="18"/>
  <c r="L48" i="21"/>
  <c r="N104" i="7"/>
  <c r="L104" i="7"/>
  <c r="L97" i="7"/>
  <c r="N97" i="7"/>
  <c r="N96" i="7"/>
  <c r="L95" i="7"/>
  <c r="N95" i="7"/>
  <c r="L93" i="7"/>
  <c r="N92" i="7"/>
  <c r="L92" i="7"/>
  <c r="L38" i="7"/>
  <c r="L79" i="7"/>
  <c r="N79" i="7"/>
  <c r="L77" i="7"/>
  <c r="N77" i="7"/>
  <c r="N76" i="7"/>
  <c r="N75" i="7"/>
  <c r="L75" i="7"/>
  <c r="L54" i="7"/>
  <c r="L56" i="7"/>
  <c r="L71" i="7"/>
  <c r="N70" i="7"/>
  <c r="L70" i="7"/>
  <c r="L69" i="7"/>
  <c r="L100" i="7"/>
  <c r="N99" i="7"/>
  <c r="N100" i="7"/>
  <c r="N115" i="7"/>
  <c r="L114" i="7"/>
  <c r="N111" i="7"/>
  <c r="L110" i="7"/>
  <c r="L112" i="7"/>
  <c r="L16" i="18"/>
  <c r="L40" i="5" l="1"/>
  <c r="N66" i="3"/>
  <c r="L66" i="3"/>
  <c r="L67" i="3"/>
  <c r="L62" i="3"/>
  <c r="N62" i="3"/>
  <c r="N59" i="3"/>
  <c r="L59" i="3"/>
  <c r="L58" i="3"/>
  <c r="L57" i="3"/>
  <c r="L55" i="3"/>
  <c r="N55" i="3"/>
  <c r="L56" i="3"/>
  <c r="N53" i="3"/>
  <c r="L53" i="3"/>
  <c r="N52" i="3"/>
  <c r="N48" i="3"/>
  <c r="L48" i="3"/>
  <c r="N47" i="3"/>
  <c r="L47" i="3"/>
  <c r="N46" i="3"/>
  <c r="N45" i="3"/>
  <c r="L39" i="3"/>
  <c r="N39" i="3"/>
  <c r="N12" i="7"/>
  <c r="N61" i="21"/>
  <c r="L28" i="7"/>
  <c r="N36" i="3"/>
  <c r="L34" i="3"/>
  <c r="N34" i="3"/>
  <c r="L33" i="3"/>
  <c r="N33" i="3"/>
  <c r="L31" i="3"/>
  <c r="N31" i="3"/>
  <c r="N30" i="3"/>
  <c r="L30" i="3"/>
  <c r="L29" i="3"/>
  <c r="L26" i="3"/>
  <c r="L24" i="3"/>
  <c r="N24" i="3"/>
  <c r="N19" i="3"/>
  <c r="L68" i="5"/>
  <c r="L18" i="3"/>
  <c r="L183" i="18"/>
  <c r="N12" i="3"/>
  <c r="L11" i="3"/>
  <c r="L12" i="3"/>
  <c r="L10" i="5"/>
  <c r="N183" i="18"/>
  <c r="L9" i="3"/>
  <c r="N9" i="3"/>
  <c r="N44" i="4"/>
  <c r="L44" i="4"/>
  <c r="L42" i="4"/>
  <c r="N42" i="4"/>
  <c r="L38" i="4"/>
  <c r="N38" i="4"/>
  <c r="N29" i="4"/>
  <c r="L29" i="4"/>
  <c r="N23" i="4"/>
  <c r="N15" i="4"/>
  <c r="L15" i="4"/>
  <c r="L6" i="4"/>
  <c r="N6" i="4"/>
  <c r="L46" i="4"/>
  <c r="N46" i="4"/>
  <c r="N31" i="5"/>
  <c r="L30" i="4"/>
  <c r="N87" i="18"/>
  <c r="L87" i="18"/>
  <c r="L18" i="14"/>
  <c r="L34" i="14"/>
  <c r="A24" i="19"/>
  <c r="B24" i="19"/>
  <c r="C24" i="19"/>
  <c r="D24" i="19"/>
  <c r="F24" i="19"/>
  <c r="G24" i="19"/>
  <c r="H24" i="19"/>
  <c r="I24" i="19"/>
  <c r="J24" i="19"/>
  <c r="K24" i="19"/>
  <c r="M24" i="19"/>
  <c r="O24" i="19"/>
  <c r="P24" i="19"/>
  <c r="Q24" i="19"/>
  <c r="R24" i="19"/>
  <c r="S24" i="19"/>
  <c r="T24" i="19"/>
  <c r="U24" i="19"/>
  <c r="L18" i="21"/>
  <c r="L21" i="4"/>
  <c r="N61" i="3"/>
  <c r="L31" i="18"/>
  <c r="N32" i="3"/>
  <c r="L20" i="3"/>
  <c r="L31" i="7"/>
  <c r="L105" i="18"/>
  <c r="L130" i="18"/>
  <c r="L16" i="14"/>
  <c r="L39" i="14"/>
  <c r="N40" i="4"/>
  <c r="L53" i="7"/>
  <c r="L24" i="4"/>
  <c r="N19" i="7"/>
  <c r="N109" i="18"/>
  <c r="L125" i="18"/>
  <c r="L135" i="18"/>
  <c r="L41" i="14"/>
  <c r="L27" i="18"/>
  <c r="N32" i="18"/>
  <c r="L62" i="18"/>
  <c r="L23" i="21"/>
  <c r="N128" i="18"/>
  <c r="N71" i="3"/>
  <c r="N55" i="18"/>
  <c r="L13" i="5"/>
  <c r="N9" i="18" l="1"/>
  <c r="L26" i="5"/>
  <c r="N52" i="21"/>
  <c r="N55" i="21"/>
  <c r="L60" i="21"/>
  <c r="N58" i="21"/>
  <c r="L52" i="21"/>
  <c r="L43" i="14"/>
  <c r="N43" i="4"/>
  <c r="N20" i="3"/>
  <c r="L13" i="4"/>
  <c r="N79" i="3"/>
  <c r="L23" i="3"/>
  <c r="L35" i="3"/>
  <c r="N80" i="7"/>
  <c r="L108" i="18"/>
  <c r="N54" i="21"/>
  <c r="L94" i="7"/>
  <c r="N94" i="5"/>
  <c r="N130" i="18"/>
  <c r="N71" i="5"/>
  <c r="L40" i="14"/>
  <c r="L18" i="4"/>
  <c r="L9" i="14"/>
  <c r="L8" i="3"/>
  <c r="L55" i="18"/>
  <c r="N14" i="3"/>
  <c r="L41" i="18"/>
  <c r="L25" i="21"/>
  <c r="N35" i="5"/>
  <c r="N33" i="4"/>
  <c r="N87" i="5"/>
  <c r="L14" i="5"/>
  <c r="L72" i="3"/>
  <c r="L10" i="21"/>
  <c r="L39" i="18"/>
  <c r="N78" i="3"/>
  <c r="N20" i="21"/>
  <c r="L73" i="18"/>
  <c r="N17" i="3"/>
  <c r="L23" i="4"/>
  <c r="N21" i="21"/>
  <c r="N57" i="7"/>
  <c r="N21" i="14"/>
  <c r="L50" i="7"/>
  <c r="N101" i="7"/>
  <c r="L79" i="3"/>
  <c r="N36" i="7"/>
  <c r="N72" i="5"/>
  <c r="L21" i="14"/>
  <c r="L91" i="18"/>
  <c r="L181" i="18"/>
  <c r="L64" i="18"/>
  <c r="L24" i="14"/>
  <c r="L71" i="3"/>
  <c r="L20" i="4"/>
  <c r="L41" i="5" l="1"/>
  <c r="L24" i="7"/>
  <c r="N61" i="18"/>
  <c r="L43" i="4"/>
  <c r="N15" i="3"/>
  <c r="L36" i="7"/>
  <c r="N42" i="21"/>
  <c r="N13" i="4"/>
  <c r="L38" i="3"/>
  <c r="L85" i="18" l="1"/>
  <c r="L23" i="7"/>
  <c r="L179" i="18"/>
  <c r="N24" i="4"/>
  <c r="L27" i="4"/>
  <c r="L17" i="3"/>
  <c r="L101" i="5" l="1"/>
  <c r="N20" i="4"/>
  <c r="L57" i="18"/>
  <c r="L28" i="4"/>
  <c r="L11" i="4"/>
  <c r="N77" i="5"/>
  <c r="N14" i="4"/>
  <c r="L82" i="18"/>
  <c r="L15" i="21"/>
  <c r="N45" i="21"/>
  <c r="N23" i="21" l="1"/>
  <c r="L49" i="21"/>
  <c r="L47" i="4"/>
  <c r="L27" i="7"/>
  <c r="L76" i="3"/>
  <c r="L42" i="7"/>
  <c r="L17" i="4"/>
  <c r="N42" i="5"/>
  <c r="L46" i="21"/>
  <c r="N75" i="3"/>
  <c r="L175" i="18"/>
  <c r="N53" i="21"/>
  <c r="L25" i="14"/>
  <c r="L40" i="21"/>
  <c r="L21" i="7"/>
  <c r="L10" i="4"/>
  <c r="L105" i="7"/>
  <c r="N108" i="18"/>
  <c r="L56" i="5"/>
  <c r="L15" i="5"/>
  <c r="N63" i="18"/>
  <c r="L58" i="7"/>
  <c r="N58" i="18"/>
  <c r="L58" i="18"/>
  <c r="L33" i="7"/>
  <c r="L57" i="21"/>
  <c r="L38" i="21"/>
  <c r="N27" i="3"/>
  <c r="L20" i="5"/>
  <c r="N16" i="4" l="1"/>
  <c r="N84" i="7"/>
  <c r="L84" i="7"/>
  <c r="N83" i="7"/>
  <c r="L83" i="7"/>
  <c r="E83" i="7"/>
  <c r="L11" i="21" l="1"/>
  <c r="L52" i="18"/>
  <c r="L60" i="18"/>
  <c r="N19" i="5"/>
  <c r="N39" i="14"/>
  <c r="N23" i="3"/>
  <c r="N88" i="18"/>
  <c r="L80" i="18"/>
  <c r="N18" i="21"/>
  <c r="L178" i="18"/>
  <c r="L93" i="5"/>
  <c r="N48" i="21"/>
  <c r="N72" i="7"/>
  <c r="N8" i="21"/>
  <c r="L24" i="21"/>
  <c r="N44" i="14"/>
  <c r="L44" i="21" l="1"/>
  <c r="N85" i="18"/>
  <c r="N62" i="18"/>
  <c r="L48" i="5"/>
  <c r="L102" i="7"/>
  <c r="L49" i="3"/>
  <c r="N7" i="4"/>
  <c r="N10" i="14"/>
  <c r="N6" i="3" l="1"/>
  <c r="L6" i="3"/>
  <c r="N7" i="3"/>
  <c r="L26" i="21"/>
  <c r="N72" i="3"/>
  <c r="L36" i="18"/>
  <c r="L16" i="4"/>
  <c r="L109" i="18"/>
  <c r="N32" i="4"/>
  <c r="L23" i="18"/>
  <c r="L75" i="3"/>
  <c r="N37" i="7"/>
  <c r="L57" i="7"/>
  <c r="N181" i="18"/>
  <c r="L101" i="7"/>
  <c r="L8" i="21"/>
  <c r="N91" i="7" l="1"/>
  <c r="N16" i="3" l="1"/>
  <c r="N7" i="21"/>
  <c r="L17" i="14"/>
  <c r="L15" i="3"/>
  <c r="N60" i="18"/>
  <c r="N53" i="5"/>
  <c r="L120" i="18"/>
  <c r="L37" i="4"/>
  <c r="L66" i="5"/>
  <c r="N66" i="5"/>
  <c r="L32" i="5"/>
  <c r="L32" i="3"/>
  <c r="N13" i="3"/>
  <c r="L34" i="7"/>
  <c r="N8" i="4"/>
  <c r="L41" i="7"/>
  <c r="L35" i="5"/>
  <c r="L45" i="3"/>
  <c r="N43" i="3"/>
  <c r="N35" i="3"/>
  <c r="N51" i="7"/>
  <c r="N56" i="21"/>
  <c r="N12" i="21"/>
  <c r="L187" i="18"/>
  <c r="L19" i="14"/>
  <c r="L19" i="5"/>
  <c r="N8" i="3"/>
  <c r="N43" i="14"/>
  <c r="L26" i="7"/>
  <c r="L77" i="3"/>
  <c r="L9" i="5"/>
  <c r="L25" i="3"/>
  <c r="L10" i="3"/>
  <c r="N31" i="4"/>
  <c r="L19" i="3"/>
  <c r="L13" i="21"/>
  <c r="L12" i="21"/>
  <c r="L12" i="18"/>
  <c r="L81" i="18"/>
  <c r="L95" i="5"/>
  <c r="N34" i="7"/>
  <c r="L13" i="3"/>
  <c r="L53" i="18" l="1"/>
  <c r="L9" i="4"/>
  <c r="L185" i="18"/>
  <c r="N49" i="21"/>
  <c r="N43" i="7"/>
  <c r="L39" i="21"/>
  <c r="L7" i="3"/>
  <c r="N86" i="7"/>
  <c r="N37" i="3"/>
  <c r="L22" i="4"/>
  <c r="L8" i="4"/>
  <c r="N47" i="4"/>
  <c r="L33" i="18"/>
  <c r="N28" i="3"/>
  <c r="N56" i="3"/>
  <c r="N41" i="4"/>
  <c r="N152" i="18"/>
  <c r="L153" i="18"/>
  <c r="N27" i="4"/>
  <c r="N12" i="18"/>
  <c r="L72" i="7"/>
  <c r="N190" i="18"/>
  <c r="L93" i="18"/>
  <c r="N139" i="18"/>
  <c r="N15" i="21"/>
  <c r="N51" i="3"/>
  <c r="L28" i="5"/>
  <c r="N77" i="3"/>
  <c r="N74" i="3"/>
  <c r="L20" i="21"/>
  <c r="L41" i="4"/>
  <c r="L36" i="4"/>
  <c r="L39" i="7"/>
  <c r="N102" i="18"/>
  <c r="L19" i="7"/>
  <c r="L46" i="3" l="1"/>
  <c r="L88" i="18"/>
  <c r="N21" i="3"/>
  <c r="N66" i="7"/>
  <c r="L86" i="7"/>
  <c r="L96" i="7"/>
  <c r="N30" i="21"/>
  <c r="N10" i="4"/>
  <c r="N36" i="21" l="1"/>
  <c r="N30" i="5"/>
  <c r="N27" i="7"/>
  <c r="N10" i="18"/>
  <c r="N11" i="4"/>
  <c r="L139" i="18"/>
  <c r="N19" i="4"/>
  <c r="L53" i="5"/>
  <c r="N45" i="4"/>
  <c r="L75" i="5"/>
  <c r="L34" i="4"/>
  <c r="L59" i="18"/>
  <c r="N28" i="4"/>
  <c r="N35" i="7"/>
  <c r="N42" i="7"/>
  <c r="N14" i="21"/>
  <c r="N37" i="4" l="1"/>
  <c r="L43" i="7"/>
  <c r="L94" i="5"/>
  <c r="N38" i="3"/>
  <c r="L19" i="4"/>
  <c r="N14" i="18"/>
  <c r="N22" i="4"/>
  <c r="L45" i="14"/>
  <c r="N57" i="18"/>
  <c r="L61" i="18"/>
  <c r="N16" i="21"/>
  <c r="L91" i="5"/>
  <c r="N22" i="3"/>
  <c r="N34" i="4"/>
  <c r="N39" i="7"/>
  <c r="N63" i="5"/>
  <c r="N46" i="21"/>
  <c r="L42" i="18"/>
  <c r="L35" i="18"/>
  <c r="L58" i="21"/>
  <c r="N45" i="14"/>
  <c r="L141" i="18" l="1"/>
  <c r="N141" i="18"/>
  <c r="N26" i="14" l="1"/>
  <c r="N25" i="14"/>
  <c r="S51" i="3" l="1"/>
  <c r="P49" i="3"/>
  <c r="N107" i="7" l="1"/>
  <c r="L107" i="7"/>
  <c r="L24" i="19" l="1"/>
  <c r="N24" i="19"/>
  <c r="S79" i="3" l="1"/>
  <c r="N18" i="14" l="1"/>
  <c r="S106" i="7" l="1"/>
  <c r="S109" i="7"/>
  <c r="N21" i="7" l="1"/>
  <c r="N162" i="18" l="1"/>
  <c r="N25" i="21"/>
  <c r="N26" i="21"/>
  <c r="L28" i="18"/>
  <c r="N9" i="7"/>
  <c r="N7" i="7"/>
  <c r="L12" i="7"/>
  <c r="L11" i="7"/>
  <c r="L10" i="7"/>
  <c r="L9" i="7"/>
  <c r="L8" i="7"/>
  <c r="L7" i="7"/>
  <c r="L88" i="5"/>
  <c r="L63" i="5"/>
  <c r="L6" i="21" l="1"/>
  <c r="L19" i="21" l="1"/>
  <c r="E11" i="21"/>
  <c r="L14" i="19"/>
  <c r="L14" i="3"/>
  <c r="N83" i="18"/>
  <c r="A22" i="19"/>
  <c r="B22" i="19"/>
  <c r="C22" i="19"/>
  <c r="D22" i="19"/>
  <c r="E22" i="19"/>
  <c r="F22" i="19"/>
  <c r="G22" i="19"/>
  <c r="H22" i="19"/>
  <c r="I22" i="19"/>
  <c r="J22" i="19"/>
  <c r="K22" i="19"/>
  <c r="L22" i="19"/>
  <c r="M22" i="19"/>
  <c r="O22" i="19"/>
  <c r="P22" i="19"/>
  <c r="Q22" i="19"/>
  <c r="R22" i="19"/>
  <c r="S22" i="19"/>
  <c r="T22" i="19"/>
  <c r="U22" i="19"/>
  <c r="A23" i="19"/>
  <c r="B23" i="19"/>
  <c r="C23" i="19"/>
  <c r="D23" i="19"/>
  <c r="F23" i="19"/>
  <c r="G23" i="19"/>
  <c r="H23" i="19"/>
  <c r="I23" i="19"/>
  <c r="J23" i="19"/>
  <c r="K23" i="19"/>
  <c r="L23" i="19"/>
  <c r="M23" i="19"/>
  <c r="N23" i="19"/>
  <c r="O23" i="19"/>
  <c r="P23" i="19"/>
  <c r="Q23" i="19"/>
  <c r="R23" i="19"/>
  <c r="S23" i="19"/>
  <c r="T23" i="19"/>
  <c r="U23" i="19"/>
  <c r="A17" i="19"/>
  <c r="B17" i="19"/>
  <c r="C17" i="19"/>
  <c r="D17" i="19"/>
  <c r="F17" i="19"/>
  <c r="G17" i="19"/>
  <c r="H17" i="19"/>
  <c r="I17" i="19"/>
  <c r="J17" i="19"/>
  <c r="K17" i="19"/>
  <c r="L17" i="19"/>
  <c r="M17" i="19"/>
  <c r="N17" i="19"/>
  <c r="O17" i="19"/>
  <c r="P17" i="19"/>
  <c r="Q17" i="19"/>
  <c r="R17" i="19"/>
  <c r="S17" i="19"/>
  <c r="T17" i="19"/>
  <c r="U17" i="19"/>
  <c r="A18" i="19"/>
  <c r="B18" i="19"/>
  <c r="C18" i="19"/>
  <c r="D18" i="19"/>
  <c r="E18" i="19"/>
  <c r="F18" i="19"/>
  <c r="G18" i="19"/>
  <c r="H18" i="19"/>
  <c r="I18" i="19"/>
  <c r="J18" i="19"/>
  <c r="K18" i="19"/>
  <c r="L18" i="19"/>
  <c r="M18" i="19"/>
  <c r="N18" i="19"/>
  <c r="O18" i="19"/>
  <c r="P18" i="19"/>
  <c r="Q18" i="19"/>
  <c r="R18" i="19"/>
  <c r="S18" i="19"/>
  <c r="T18" i="19"/>
  <c r="U18" i="19"/>
  <c r="A19" i="19"/>
  <c r="B19" i="19"/>
  <c r="C19" i="19"/>
  <c r="D19" i="19"/>
  <c r="E19" i="19"/>
  <c r="F19" i="19"/>
  <c r="G19" i="19"/>
  <c r="H19" i="19"/>
  <c r="I19" i="19"/>
  <c r="J19" i="19"/>
  <c r="K19" i="19"/>
  <c r="L19" i="19"/>
  <c r="M19" i="19"/>
  <c r="N19" i="19"/>
  <c r="O19" i="19"/>
  <c r="P19" i="19"/>
  <c r="Q19" i="19"/>
  <c r="R19" i="19"/>
  <c r="S19" i="19"/>
  <c r="T19" i="19"/>
  <c r="U19" i="19"/>
  <c r="A12" i="19"/>
  <c r="B12" i="19"/>
  <c r="C12" i="19"/>
  <c r="D12" i="19"/>
  <c r="E12" i="19"/>
  <c r="F12" i="19"/>
  <c r="G12" i="19"/>
  <c r="H12" i="19"/>
  <c r="I12" i="19"/>
  <c r="J12" i="19"/>
  <c r="K12" i="19"/>
  <c r="L12" i="19"/>
  <c r="M12" i="19"/>
  <c r="O12" i="19"/>
  <c r="P12" i="19"/>
  <c r="Q12" i="19"/>
  <c r="R12" i="19"/>
  <c r="S12" i="19"/>
  <c r="T12" i="19"/>
  <c r="U12" i="19"/>
  <c r="A13" i="19"/>
  <c r="B13" i="19"/>
  <c r="C13" i="19"/>
  <c r="D13" i="19"/>
  <c r="E13" i="19"/>
  <c r="F13" i="19"/>
  <c r="G13" i="19"/>
  <c r="H13" i="19"/>
  <c r="I13" i="19"/>
  <c r="J13" i="19"/>
  <c r="K13" i="19"/>
  <c r="L13" i="19"/>
  <c r="M13" i="19"/>
  <c r="N13" i="19"/>
  <c r="O13" i="19"/>
  <c r="Q13" i="19"/>
  <c r="R13" i="19"/>
  <c r="S13" i="19"/>
  <c r="T13" i="19"/>
  <c r="U13" i="19"/>
  <c r="A14" i="19"/>
  <c r="B14" i="19"/>
  <c r="C14" i="19"/>
  <c r="D14" i="19"/>
  <c r="E14" i="19"/>
  <c r="F14" i="19"/>
  <c r="G14" i="19"/>
  <c r="H14" i="19"/>
  <c r="I14" i="19"/>
  <c r="J14" i="19"/>
  <c r="K14" i="19"/>
  <c r="M14" i="19"/>
  <c r="N14" i="19"/>
  <c r="O14" i="19"/>
  <c r="P14" i="19"/>
  <c r="Q14" i="19"/>
  <c r="R14" i="19"/>
  <c r="S14" i="19"/>
  <c r="T14" i="19"/>
  <c r="U14" i="19"/>
  <c r="H26" i="19" l="1"/>
  <c r="W19" i="19"/>
  <c r="H15" i="19"/>
  <c r="W23" i="19"/>
  <c r="H20" i="19"/>
  <c r="W14" i="19"/>
  <c r="W22" i="19"/>
  <c r="W17" i="19"/>
  <c r="W13" i="19"/>
  <c r="W24" i="19"/>
  <c r="W12" i="19"/>
  <c r="W18" i="19"/>
  <c r="W26" i="19" l="1"/>
  <c r="W15" i="19"/>
  <c r="W20" i="19"/>
  <c r="S18" i="7" l="1"/>
  <c r="N121" i="18" l="1"/>
  <c r="P53" i="5" l="1"/>
  <c r="E53" i="5"/>
  <c r="E51" i="5"/>
  <c r="P37" i="5"/>
  <c r="P31" i="5"/>
  <c r="P56" i="5"/>
  <c r="P34" i="3"/>
  <c r="P6" i="3"/>
  <c r="P9" i="3"/>
  <c r="S15" i="4"/>
  <c r="P29" i="3" l="1"/>
  <c r="P85" i="5"/>
  <c r="P88" i="7"/>
  <c r="L63" i="18" l="1"/>
  <c r="L17" i="21"/>
  <c r="N24" i="21"/>
  <c r="L16" i="5"/>
  <c r="N8" i="14"/>
  <c r="N15" i="5" l="1"/>
  <c r="N68" i="5"/>
  <c r="L87" i="5"/>
  <c r="L83" i="18"/>
  <c r="L74" i="3"/>
  <c r="N23" i="7"/>
  <c r="N99" i="5" l="1"/>
  <c r="N51" i="18"/>
  <c r="L78" i="3"/>
  <c r="L73" i="5"/>
  <c r="L20" i="7"/>
  <c r="L21" i="21"/>
  <c r="N13" i="5"/>
  <c r="L61" i="21"/>
  <c r="L54" i="21"/>
  <c r="L8" i="14"/>
  <c r="N49" i="7"/>
  <c r="N116" i="18"/>
  <c r="L11" i="5"/>
  <c r="N40" i="14"/>
  <c r="L30" i="5"/>
  <c r="L7" i="21" l="1"/>
  <c r="N70" i="18"/>
  <c r="N52" i="18"/>
  <c r="L99" i="5"/>
  <c r="N94" i="7"/>
  <c r="N33" i="7"/>
  <c r="N18" i="5"/>
  <c r="L51" i="7"/>
  <c r="N29" i="5"/>
  <c r="L41" i="21" l="1"/>
  <c r="L80" i="7"/>
  <c r="L43" i="5"/>
  <c r="N73" i="5"/>
  <c r="L11" i="18"/>
  <c r="L53" i="21"/>
  <c r="L55" i="21"/>
  <c r="N14" i="5"/>
  <c r="L128" i="18"/>
  <c r="N16" i="14"/>
  <c r="L64" i="5"/>
  <c r="N89" i="7" l="1"/>
  <c r="N50" i="3"/>
  <c r="L107" i="18" l="1"/>
  <c r="N103" i="7"/>
  <c r="N41" i="7"/>
  <c r="N62" i="7"/>
  <c r="L54" i="18"/>
  <c r="L28" i="21"/>
  <c r="L49" i="5"/>
  <c r="N39" i="21"/>
  <c r="N36" i="5"/>
  <c r="N29" i="21" l="1"/>
  <c r="L16" i="3"/>
  <c r="N178" i="18"/>
  <c r="L109" i="7"/>
  <c r="N18" i="18"/>
  <c r="L43" i="21"/>
  <c r="L92" i="5" l="1"/>
  <c r="L34" i="5"/>
  <c r="N47" i="21"/>
  <c r="L156" i="18"/>
  <c r="L18" i="5" l="1"/>
  <c r="N33" i="18"/>
  <c r="N53" i="18"/>
  <c r="L52" i="5"/>
  <c r="L51" i="3"/>
  <c r="N13" i="21"/>
  <c r="L46" i="14"/>
  <c r="N86" i="5" l="1"/>
  <c r="N49" i="5"/>
  <c r="N15" i="18"/>
  <c r="L68" i="3" l="1"/>
  <c r="N35" i="14" l="1"/>
  <c r="S75" i="5" l="1"/>
  <c r="P18" i="3" l="1"/>
  <c r="S11" i="3" l="1"/>
  <c r="P13" i="5"/>
  <c r="P47" i="4"/>
  <c r="P13" i="19" l="1"/>
  <c r="N41" i="5"/>
  <c r="N96" i="5"/>
  <c r="L25" i="4"/>
  <c r="L43" i="18"/>
  <c r="L29" i="7"/>
  <c r="L115" i="7"/>
  <c r="N39" i="18"/>
  <c r="L47" i="7"/>
  <c r="N49" i="18"/>
  <c r="N20" i="5"/>
  <c r="L9" i="18"/>
  <c r="N80" i="18"/>
  <c r="N88" i="5"/>
  <c r="L69" i="5"/>
  <c r="L10" i="14" l="1"/>
  <c r="N44" i="21"/>
  <c r="N9" i="5"/>
  <c r="N26" i="7"/>
  <c r="N33" i="21"/>
  <c r="N9" i="4"/>
  <c r="N38" i="21"/>
  <c r="N62" i="21"/>
  <c r="N12" i="19" l="1"/>
  <c r="L134" i="18"/>
  <c r="N134" i="18"/>
  <c r="L131" i="18" l="1"/>
  <c r="P145" i="18" l="1"/>
  <c r="N8" i="5" l="1"/>
  <c r="L8" i="5"/>
  <c r="E8" i="5"/>
  <c r="E14" i="7" l="1"/>
  <c r="E20" i="3" l="1"/>
  <c r="L118" i="18" l="1"/>
  <c r="P49" i="7" l="1"/>
  <c r="N69" i="5" l="1"/>
  <c r="L52" i="3"/>
  <c r="P19" i="14" l="1"/>
  <c r="N16" i="18" l="1"/>
  <c r="E12" i="7"/>
  <c r="E11" i="7"/>
  <c r="E10" i="7"/>
  <c r="E9" i="7"/>
  <c r="E8" i="7"/>
  <c r="E7" i="7"/>
  <c r="N43" i="5" l="1"/>
  <c r="N147" i="18" l="1"/>
  <c r="L20" i="14"/>
  <c r="L15" i="14"/>
  <c r="N11" i="14"/>
  <c r="N126" i="18" l="1"/>
  <c r="L33" i="5"/>
  <c r="L14" i="18"/>
  <c r="L47" i="21"/>
  <c r="N80" i="5"/>
  <c r="N25" i="3"/>
  <c r="N11" i="3"/>
  <c r="L22" i="18"/>
  <c r="L113" i="18"/>
  <c r="L112" i="18"/>
  <c r="N48" i="7"/>
  <c r="N20" i="18" l="1"/>
  <c r="L157" i="18"/>
  <c r="N40" i="21" l="1"/>
  <c r="L22" i="21"/>
  <c r="L17" i="5"/>
  <c r="N135" i="18"/>
  <c r="L37" i="21"/>
  <c r="N109" i="7"/>
  <c r="L21" i="5"/>
  <c r="P21" i="21" l="1"/>
  <c r="N56" i="7" l="1"/>
  <c r="L33" i="21"/>
  <c r="N61" i="5"/>
  <c r="N25" i="7"/>
  <c r="N28" i="7"/>
  <c r="N57" i="5"/>
  <c r="N105" i="7"/>
  <c r="N106" i="18"/>
  <c r="L74" i="5"/>
  <c r="P31" i="3"/>
  <c r="E30" i="3"/>
  <c r="N68" i="3" l="1"/>
  <c r="N13" i="18" l="1"/>
  <c r="N143" i="18"/>
  <c r="L45" i="7"/>
  <c r="L33" i="14" l="1"/>
  <c r="L37" i="5" l="1"/>
  <c r="G170" i="18" l="1"/>
  <c r="L169" i="18"/>
  <c r="E169" i="18"/>
  <c r="G171" i="18"/>
  <c r="N170" i="18"/>
  <c r="L170" i="18"/>
  <c r="E170" i="18"/>
  <c r="G167" i="18"/>
  <c r="E171" i="18"/>
  <c r="E167" i="18"/>
  <c r="L171" i="18"/>
  <c r="N167" i="18"/>
  <c r="L167" i="18"/>
  <c r="E168" i="18"/>
  <c r="N166" i="18"/>
  <c r="E166" i="18"/>
  <c r="L165" i="18"/>
  <c r="E165" i="18"/>
  <c r="N164" i="18"/>
  <c r="E164" i="18"/>
  <c r="N22" i="19" l="1"/>
  <c r="L60" i="5"/>
  <c r="L172" i="18"/>
  <c r="N75" i="5"/>
  <c r="L42" i="21"/>
  <c r="L12" i="5" l="1"/>
  <c r="N185" i="18"/>
  <c r="N68" i="7"/>
  <c r="L62" i="21" l="1"/>
  <c r="N57" i="21" l="1"/>
  <c r="E61" i="21"/>
  <c r="L96" i="18" l="1"/>
  <c r="E188" i="18" l="1"/>
  <c r="E187" i="18"/>
  <c r="L10" i="18"/>
  <c r="N48" i="5"/>
  <c r="N158" i="18" l="1"/>
  <c r="L18" i="7"/>
  <c r="P127" i="18"/>
  <c r="P134" i="18"/>
  <c r="L61" i="5" l="1"/>
  <c r="P55" i="21" l="1"/>
  <c r="E46" i="7" l="1"/>
  <c r="N45" i="7" l="1"/>
  <c r="N47" i="7"/>
  <c r="E47" i="7"/>
  <c r="N129" i="18" l="1"/>
  <c r="N20" i="7" l="1"/>
  <c r="N60" i="21" l="1"/>
  <c r="E51" i="21" l="1"/>
  <c r="E52" i="21"/>
  <c r="E62" i="21"/>
  <c r="E60" i="21"/>
  <c r="N59" i="21"/>
  <c r="L59" i="21"/>
  <c r="E59" i="21"/>
  <c r="E58" i="21" l="1"/>
  <c r="E56" i="21"/>
  <c r="E57" i="21"/>
  <c r="E55" i="21"/>
  <c r="L37" i="18" l="1"/>
  <c r="S27" i="7" l="1"/>
  <c r="S17" i="21"/>
  <c r="S9" i="21"/>
  <c r="P25" i="19"/>
  <c r="N64" i="3" l="1"/>
  <c r="N58" i="3"/>
  <c r="N18" i="7"/>
  <c r="N29" i="3" l="1"/>
  <c r="N23" i="5" l="1"/>
  <c r="N22" i="7"/>
  <c r="N52" i="5"/>
  <c r="N146" i="18"/>
  <c r="N18" i="4"/>
  <c r="L65" i="3" l="1"/>
  <c r="L78" i="7"/>
  <c r="N58" i="5" l="1"/>
  <c r="L27" i="5" l="1"/>
  <c r="N10" i="5"/>
  <c r="S10" i="5"/>
  <c r="P10" i="5"/>
  <c r="E10" i="5"/>
  <c r="L98" i="5"/>
  <c r="L22" i="5"/>
  <c r="N7" i="14" l="1"/>
  <c r="N161" i="18" l="1"/>
  <c r="N142" i="18"/>
  <c r="N112" i="18"/>
  <c r="N115" i="18"/>
  <c r="L110" i="18"/>
  <c r="N47" i="18"/>
  <c r="L46" i="18"/>
  <c r="N44" i="18"/>
  <c r="N35" i="18"/>
  <c r="N24" i="18"/>
  <c r="L29" i="18"/>
  <c r="L13" i="18"/>
  <c r="N82" i="18"/>
  <c r="N104" i="18"/>
  <c r="N65" i="3" l="1"/>
  <c r="N56" i="18" l="1"/>
  <c r="N65" i="18"/>
  <c r="L65" i="18"/>
  <c r="P42" i="18" l="1"/>
  <c r="P14" i="18"/>
  <c r="P36" i="18"/>
  <c r="L57" i="5" l="1"/>
  <c r="L36" i="5"/>
  <c r="L78" i="5" l="1"/>
  <c r="N41" i="21"/>
  <c r="N74" i="5" l="1"/>
  <c r="N52" i="7"/>
  <c r="N19" i="18"/>
  <c r="L22" i="7" l="1"/>
  <c r="L64" i="3"/>
  <c r="N71" i="7"/>
  <c r="N89" i="18"/>
  <c r="L66" i="7"/>
  <c r="N28" i="21"/>
  <c r="N71" i="18" l="1"/>
  <c r="N67" i="5" l="1"/>
  <c r="N11" i="18"/>
  <c r="L102" i="5"/>
  <c r="L36" i="21"/>
  <c r="L79" i="5" l="1"/>
  <c r="L88" i="7" l="1"/>
  <c r="N12" i="5"/>
  <c r="N33" i="5" l="1"/>
  <c r="N64" i="18"/>
  <c r="N60" i="3" l="1"/>
  <c r="N60" i="7" l="1"/>
  <c r="L44" i="14" l="1"/>
  <c r="N103" i="5"/>
  <c r="L72" i="5" l="1"/>
  <c r="N45" i="5"/>
  <c r="L45" i="5"/>
  <c r="P137" i="18" l="1"/>
  <c r="P26" i="5"/>
  <c r="P32" i="4"/>
  <c r="P43" i="14"/>
  <c r="P40" i="14"/>
  <c r="P48" i="3"/>
  <c r="P61" i="7"/>
  <c r="L23" i="14" l="1"/>
  <c r="E22" i="14"/>
  <c r="N180" i="18" l="1"/>
  <c r="L182" i="18"/>
  <c r="L180" i="18"/>
  <c r="N41" i="18" l="1"/>
  <c r="N29" i="7" l="1"/>
  <c r="N14" i="14" l="1"/>
  <c r="N102" i="5" l="1"/>
  <c r="N151" i="18" l="1"/>
  <c r="E151" i="18"/>
  <c r="N53" i="7" l="1"/>
  <c r="N125" i="18"/>
  <c r="N118" i="18"/>
  <c r="N55" i="5" l="1"/>
  <c r="E27" i="7" l="1"/>
  <c r="L96" i="5" l="1"/>
  <c r="L142" i="18" l="1"/>
  <c r="N19" i="14" l="1"/>
  <c r="L35" i="14" l="1"/>
  <c r="N11" i="5" l="1"/>
  <c r="N16" i="5" l="1"/>
  <c r="E147" i="18" l="1"/>
  <c r="N41" i="14"/>
  <c r="N22" i="21"/>
  <c r="L108" i="7" l="1"/>
  <c r="L161" i="18" l="1"/>
  <c r="N98" i="5"/>
  <c r="N24" i="7"/>
  <c r="N32" i="21"/>
  <c r="L32" i="21"/>
  <c r="E185" i="18" l="1"/>
  <c r="L111" i="7" l="1"/>
  <c r="N46" i="18" l="1"/>
  <c r="N79" i="5"/>
  <c r="N89" i="5" l="1"/>
  <c r="G178" i="18" l="1"/>
  <c r="E178" i="18"/>
  <c r="L60" i="3"/>
  <c r="N7" i="5"/>
  <c r="N92" i="5" l="1"/>
  <c r="A1" i="18"/>
  <c r="N87" i="7" l="1"/>
  <c r="L30" i="21" l="1"/>
  <c r="N74" i="18"/>
  <c r="L74" i="18"/>
  <c r="N50" i="18" l="1"/>
  <c r="N90" i="18" l="1"/>
  <c r="N95" i="5" l="1"/>
  <c r="N156" i="18" l="1"/>
  <c r="E71" i="3" l="1"/>
  <c r="N91" i="5" l="1"/>
  <c r="L127" i="18" l="1"/>
  <c r="L119" i="18"/>
  <c r="N37" i="21" l="1"/>
  <c r="N17" i="14" l="1"/>
  <c r="N78" i="5" l="1"/>
  <c r="E28" i="3" l="1"/>
  <c r="E59" i="3" l="1"/>
  <c r="E13" i="21" l="1"/>
  <c r="N43" i="21" l="1"/>
  <c r="N155" i="18"/>
  <c r="N140" i="18"/>
  <c r="N54" i="7"/>
  <c r="N17" i="5"/>
  <c r="L47" i="5"/>
  <c r="N76" i="5"/>
  <c r="N37" i="5" l="1"/>
  <c r="L32" i="18" l="1"/>
  <c r="N117" i="7"/>
  <c r="N88" i="7"/>
  <c r="N59" i="7"/>
  <c r="N58" i="7"/>
  <c r="N44" i="7"/>
  <c r="N102" i="7"/>
  <c r="N56" i="5" l="1"/>
  <c r="N63" i="3"/>
  <c r="N153" i="18"/>
  <c r="L70" i="5" l="1"/>
  <c r="N70" i="5"/>
  <c r="L116" i="7" l="1"/>
  <c r="N34" i="14" l="1"/>
  <c r="L14" i="14"/>
  <c r="L27" i="14"/>
  <c r="N92" i="18" l="1"/>
  <c r="N22" i="5" l="1"/>
  <c r="E15" i="21" l="1"/>
  <c r="E7" i="21"/>
  <c r="E8" i="21"/>
  <c r="N39" i="5" l="1"/>
  <c r="E32" i="21" l="1"/>
  <c r="E33" i="21"/>
  <c r="N28" i="5" l="1"/>
  <c r="N175" i="18" l="1"/>
  <c r="N136" i="18" l="1"/>
  <c r="E106" i="18" l="1"/>
  <c r="L155" i="18" l="1"/>
  <c r="E154" i="18"/>
  <c r="N101" i="5" l="1"/>
  <c r="N97" i="5" l="1"/>
  <c r="N64" i="5"/>
  <c r="N176" i="18" l="1"/>
  <c r="L176" i="18"/>
  <c r="E179" i="18" l="1"/>
  <c r="N24" i="5" l="1"/>
  <c r="N93" i="18" l="1"/>
  <c r="N91" i="18" l="1"/>
  <c r="L48" i="18"/>
  <c r="L17" i="18"/>
  <c r="L76" i="5"/>
  <c r="L67" i="5"/>
  <c r="L65" i="5"/>
  <c r="N47" i="5"/>
  <c r="N32" i="5"/>
  <c r="N34" i="5"/>
  <c r="N21" i="5"/>
  <c r="N30" i="4" l="1"/>
  <c r="L114" i="18" l="1"/>
  <c r="N90" i="7" l="1"/>
  <c r="N116" i="7" l="1"/>
  <c r="L100" i="5" l="1"/>
  <c r="N40" i="7" l="1"/>
  <c r="E29" i="21" l="1"/>
  <c r="N163" i="18" l="1"/>
  <c r="L31" i="5" l="1"/>
  <c r="L76" i="7"/>
  <c r="N62" i="5" l="1"/>
  <c r="N42" i="14"/>
  <c r="L42" i="14"/>
  <c r="E14" i="5" l="1"/>
  <c r="E15" i="7" l="1"/>
  <c r="N172" i="18" l="1"/>
  <c r="L160" i="18" l="1"/>
  <c r="E157" i="18" l="1"/>
  <c r="L117" i="7" l="1"/>
  <c r="E116" i="7"/>
  <c r="E117" i="7"/>
  <c r="N31" i="7" l="1"/>
  <c r="N67" i="3" l="1"/>
  <c r="E88" i="7" l="1"/>
  <c r="E184" i="18" l="1"/>
  <c r="E28" i="21" l="1"/>
  <c r="E30" i="21"/>
  <c r="E92" i="7" l="1"/>
  <c r="E76" i="7" l="1"/>
  <c r="E91" i="18" l="1"/>
  <c r="N100" i="5" l="1"/>
  <c r="L86" i="18" l="1"/>
  <c r="S41" i="21" l="1"/>
  <c r="N94" i="18" l="1"/>
  <c r="N60" i="5" l="1"/>
  <c r="N59" i="5" l="1"/>
  <c r="E20" i="5" l="1"/>
  <c r="E22" i="5"/>
  <c r="N27" i="5" l="1"/>
  <c r="E84" i="7" l="1"/>
  <c r="L173" i="18" l="1"/>
  <c r="N173" i="18"/>
  <c r="E173" i="18"/>
  <c r="N159" i="18"/>
  <c r="N174" i="18"/>
  <c r="E160" i="18"/>
  <c r="E161" i="18"/>
  <c r="E162" i="18"/>
  <c r="E159" i="18"/>
  <c r="E176" i="18"/>
  <c r="E174" i="18"/>
  <c r="E190" i="18" l="1"/>
  <c r="E175" i="18"/>
  <c r="E156" i="18"/>
  <c r="E155" i="18"/>
  <c r="E153" i="18"/>
  <c r="E152" i="18"/>
  <c r="E163" i="18"/>
  <c r="E172" i="18"/>
  <c r="E158" i="18"/>
  <c r="E189" i="18"/>
  <c r="E186" i="18"/>
  <c r="E183" i="18"/>
  <c r="E181" i="18"/>
  <c r="N36" i="14" l="1"/>
  <c r="L71" i="5" l="1"/>
  <c r="E40" i="21" l="1"/>
  <c r="E88" i="18" l="1"/>
  <c r="E13" i="5" l="1"/>
  <c r="E22" i="3" l="1"/>
  <c r="L49" i="7" l="1"/>
  <c r="E23" i="5" l="1"/>
  <c r="E101" i="7" l="1"/>
  <c r="L19" i="18"/>
  <c r="N114" i="7" l="1"/>
  <c r="N78" i="7" l="1"/>
  <c r="E18" i="7" l="1"/>
  <c r="E31" i="3" l="1"/>
  <c r="N114" i="18" l="1"/>
  <c r="E19" i="3" l="1"/>
  <c r="E14" i="3"/>
  <c r="E24" i="3"/>
  <c r="E23" i="19" s="1"/>
  <c r="E28" i="7"/>
  <c r="E14" i="21" l="1"/>
  <c r="N65" i="5"/>
  <c r="E84" i="18"/>
  <c r="L38" i="18"/>
  <c r="E49" i="21"/>
  <c r="L64" i="21"/>
  <c r="E62" i="18"/>
  <c r="E12" i="21"/>
  <c r="E16" i="21"/>
  <c r="E57" i="7"/>
  <c r="E51" i="3"/>
  <c r="E60" i="3"/>
  <c r="E62" i="5"/>
  <c r="E62" i="3"/>
  <c r="L138" i="18"/>
  <c r="L25" i="19" s="1"/>
  <c r="E112" i="7"/>
  <c r="E43" i="3"/>
  <c r="E56" i="7"/>
  <c r="Q1" i="21"/>
  <c r="E46" i="21"/>
  <c r="E45" i="21"/>
  <c r="E43" i="21"/>
  <c r="E38" i="21"/>
  <c r="E36" i="21"/>
  <c r="E39" i="21"/>
  <c r="E41" i="21"/>
  <c r="E42" i="21"/>
  <c r="E44" i="21"/>
  <c r="E47" i="21"/>
  <c r="E48" i="21"/>
  <c r="E64" i="21"/>
  <c r="E37" i="7"/>
  <c r="E26" i="14"/>
  <c r="E13" i="3"/>
  <c r="E16" i="3"/>
  <c r="E22" i="7"/>
  <c r="E53" i="21"/>
  <c r="E104" i="7"/>
  <c r="E54" i="21"/>
  <c r="N54" i="18"/>
  <c r="E37" i="21"/>
  <c r="E9" i="21"/>
  <c r="E10" i="21"/>
  <c r="E6" i="21"/>
  <c r="E17" i="19" s="1"/>
  <c r="E11" i="3"/>
  <c r="L36" i="14"/>
  <c r="E36" i="14"/>
  <c r="E35" i="14"/>
  <c r="E34" i="14"/>
  <c r="E33" i="14"/>
  <c r="E60" i="5"/>
  <c r="E21" i="7"/>
  <c r="L44" i="18"/>
  <c r="E61" i="5"/>
  <c r="E99" i="7"/>
  <c r="E103" i="7"/>
  <c r="E20" i="7"/>
  <c r="E46" i="3"/>
  <c r="E17" i="5"/>
  <c r="E36" i="3"/>
  <c r="E21" i="3"/>
  <c r="E23" i="7"/>
  <c r="E8" i="3"/>
  <c r="E47" i="3"/>
  <c r="E68" i="3"/>
  <c r="E9" i="3"/>
  <c r="E12" i="3"/>
  <c r="E10" i="14"/>
  <c r="E86" i="5"/>
  <c r="E23" i="3"/>
  <c r="E39" i="7"/>
  <c r="E96" i="7"/>
  <c r="E34" i="7"/>
  <c r="E90" i="7"/>
  <c r="E7" i="3"/>
  <c r="E43" i="7"/>
  <c r="E51" i="7"/>
  <c r="E27" i="14"/>
  <c r="E18" i="14"/>
  <c r="L18" i="18"/>
  <c r="E61" i="18"/>
  <c r="E49" i="3"/>
  <c r="E27" i="3"/>
  <c r="E39" i="3"/>
  <c r="E37" i="3"/>
  <c r="E50" i="7"/>
  <c r="A1" i="3"/>
  <c r="R1" i="3"/>
  <c r="E11" i="14"/>
  <c r="E57" i="3"/>
  <c r="E66" i="3"/>
  <c r="E91" i="7"/>
  <c r="N149" i="18"/>
  <c r="L149" i="18"/>
  <c r="L94" i="18"/>
  <c r="N17" i="18"/>
  <c r="L59" i="7"/>
  <c r="N55" i="7"/>
  <c r="L55" i="7"/>
  <c r="E9" i="5"/>
  <c r="E108" i="7"/>
  <c r="E15" i="14"/>
  <c r="E58" i="3"/>
  <c r="E67" i="3"/>
  <c r="E107" i="7"/>
  <c r="E29" i="7"/>
  <c r="E16" i="7"/>
  <c r="E26" i="7"/>
  <c r="E25" i="7"/>
  <c r="E24" i="7"/>
  <c r="E19" i="7"/>
  <c r="E54" i="3"/>
  <c r="E59" i="7"/>
  <c r="E100" i="7"/>
  <c r="E52" i="3"/>
  <c r="E63" i="3"/>
  <c r="E64" i="3"/>
  <c r="E45" i="3"/>
  <c r="E26" i="3"/>
  <c r="E53" i="3"/>
  <c r="E50" i="3"/>
  <c r="E56" i="3"/>
  <c r="E17" i="3"/>
  <c r="E61" i="3"/>
  <c r="E55" i="3"/>
  <c r="E10" i="3"/>
  <c r="E69" i="3"/>
  <c r="E29" i="3"/>
  <c r="E91" i="5"/>
  <c r="E93" i="7"/>
  <c r="E35" i="3"/>
  <c r="E49" i="5"/>
  <c r="E25" i="14"/>
  <c r="E24" i="14"/>
  <c r="E16" i="14"/>
  <c r="E14" i="14"/>
  <c r="E8" i="14"/>
  <c r="E41" i="7"/>
  <c r="E15" i="3"/>
  <c r="E38" i="3"/>
  <c r="E72" i="3"/>
  <c r="E18" i="3"/>
  <c r="E41" i="3"/>
  <c r="E28" i="14"/>
  <c r="L28" i="14"/>
  <c r="N28" i="14"/>
  <c r="E65" i="3"/>
  <c r="E44" i="3"/>
  <c r="E45" i="7"/>
  <c r="E48" i="7"/>
  <c r="E110" i="7"/>
  <c r="E109" i="7"/>
  <c r="E48" i="5"/>
  <c r="E106" i="7"/>
  <c r="E105" i="7"/>
  <c r="E86" i="7"/>
  <c r="E87" i="7"/>
  <c r="E114" i="7"/>
  <c r="E87" i="5"/>
  <c r="E23" i="14"/>
  <c r="E88" i="5"/>
  <c r="E54" i="5"/>
  <c r="E52" i="5"/>
  <c r="E115" i="7"/>
  <c r="E55" i="7"/>
  <c r="Q1" i="18"/>
  <c r="E42" i="3"/>
  <c r="E12" i="14"/>
  <c r="L44" i="5"/>
  <c r="N69" i="3"/>
  <c r="L69" i="3"/>
  <c r="E95" i="7"/>
  <c r="E97" i="7"/>
  <c r="E94" i="7"/>
  <c r="N65" i="7"/>
  <c r="L65" i="7"/>
  <c r="N64" i="7"/>
  <c r="L64" i="7"/>
  <c r="E63" i="7"/>
  <c r="E64" i="7"/>
  <c r="E58" i="7"/>
  <c r="E78" i="7"/>
  <c r="E77" i="7"/>
  <c r="E75" i="7"/>
  <c r="L62" i="7"/>
  <c r="L44" i="7"/>
  <c r="E13" i="14"/>
  <c r="E19" i="14"/>
  <c r="E60" i="7"/>
  <c r="E17" i="14"/>
  <c r="E15" i="5"/>
  <c r="E20" i="14"/>
  <c r="E21" i="14"/>
  <c r="E44" i="7"/>
  <c r="E111" i="7"/>
  <c r="E33" i="7"/>
  <c r="E102" i="7"/>
  <c r="A1" i="5"/>
  <c r="R1" i="5"/>
  <c r="E65" i="7"/>
  <c r="E18" i="5"/>
  <c r="E16" i="5"/>
  <c r="E9" i="14"/>
  <c r="E24" i="5"/>
  <c r="E56" i="5"/>
  <c r="A1" i="14"/>
  <c r="Q1" i="14"/>
  <c r="E7" i="14"/>
  <c r="E61" i="7"/>
  <c r="E47" i="5"/>
  <c r="E89" i="5"/>
  <c r="E6" i="3"/>
  <c r="E55" i="5"/>
  <c r="A1" i="7"/>
  <c r="Q1" i="7"/>
  <c r="E31" i="7"/>
  <c r="E32" i="7"/>
  <c r="E35" i="7"/>
  <c r="E36" i="7"/>
  <c r="E38" i="7"/>
  <c r="E40" i="7"/>
  <c r="E42" i="7"/>
  <c r="E49" i="7"/>
  <c r="E52" i="7"/>
  <c r="E53" i="7"/>
  <c r="E54" i="7"/>
  <c r="E62" i="7"/>
  <c r="E89" i="7"/>
  <c r="E7" i="5"/>
  <c r="E11" i="5"/>
  <c r="E12" i="5"/>
  <c r="E19" i="5"/>
  <c r="E21" i="5"/>
  <c r="E25" i="5"/>
  <c r="E26" i="5"/>
  <c r="E27" i="5"/>
  <c r="E57" i="5"/>
  <c r="E58" i="5"/>
  <c r="E59" i="5"/>
  <c r="E85" i="5"/>
  <c r="E90" i="5"/>
  <c r="A1" i="4"/>
  <c r="R1" i="4"/>
  <c r="E25" i="3"/>
  <c r="E32" i="3"/>
  <c r="E34" i="3"/>
  <c r="E40" i="3"/>
  <c r="E48" i="3"/>
  <c r="E24" i="19" l="1"/>
</calcChain>
</file>

<file path=xl/sharedStrings.xml><?xml version="1.0" encoding="utf-8"?>
<sst xmlns="http://schemas.openxmlformats.org/spreadsheetml/2006/main" count="7493" uniqueCount="1075">
  <si>
    <t>Index of Spreadsheets</t>
  </si>
  <si>
    <t xml:space="preserve">i </t>
  </si>
  <si>
    <t>this information sheet</t>
  </si>
  <si>
    <t>EFp</t>
  </si>
  <si>
    <t>EFz</t>
  </si>
  <si>
    <t>Notation - Spreadsheet Columns</t>
  </si>
  <si>
    <t xml:space="preserve">f </t>
  </si>
  <si>
    <t>wt</t>
  </si>
  <si>
    <t>price category for "Excellent" condition items</t>
  </si>
  <si>
    <t>M-  to  N</t>
  </si>
  <si>
    <t>price category for "near Mint" to "New" condition items</t>
  </si>
  <si>
    <t>f/</t>
  </si>
  <si>
    <t>maximum aperture (lens wide open), f/ = a.max = minimum F-stop number (e.g. f/1.4)</t>
  </si>
  <si>
    <t>mt</t>
  </si>
  <si>
    <t>Dmin</t>
  </si>
  <si>
    <t>Canon lens specs are from Canon's Canada and US web sites for current and some recent products.</t>
  </si>
  <si>
    <t xml:space="preserve"> </t>
  </si>
  <si>
    <t>eBay</t>
  </si>
  <si>
    <t>other suppliers</t>
  </si>
  <si>
    <t xml:space="preserve">      M-  to  N</t>
  </si>
  <si>
    <t>(mm)</t>
  </si>
  <si>
    <t>(kg)</t>
  </si>
  <si>
    <t>$US</t>
  </si>
  <si>
    <t>date</t>
  </si>
  <si>
    <t>site</t>
  </si>
  <si>
    <t>Sch-K</t>
  </si>
  <si>
    <t>mpex</t>
  </si>
  <si>
    <t>Nikon</t>
  </si>
  <si>
    <t>igor</t>
  </si>
  <si>
    <t>camW</t>
  </si>
  <si>
    <t>keh</t>
  </si>
  <si>
    <t>x</t>
  </si>
  <si>
    <t>b&amp;h</t>
  </si>
  <si>
    <t>ado</t>
  </si>
  <si>
    <t>Carl Zeiss</t>
  </si>
  <si>
    <t>v.v</t>
  </si>
  <si>
    <t>Canon EF Prime</t>
  </si>
  <si>
    <t>(m)</t>
  </si>
  <si>
    <t>Canon</t>
  </si>
  <si>
    <t>EF</t>
  </si>
  <si>
    <t>rg</t>
  </si>
  <si>
    <t>Lifesize Converter</t>
  </si>
  <si>
    <t>MP-E 65/2.8 Macro Photo</t>
  </si>
  <si>
    <t>48 di</t>
  </si>
  <si>
    <t>EF 200/2.8 L II USM</t>
  </si>
  <si>
    <t>52 di</t>
  </si>
  <si>
    <t>EF 400/2.8 L II USM</t>
  </si>
  <si>
    <t xml:space="preserve">EF 16-35/2.8 L USM          </t>
  </si>
  <si>
    <t>16-35</t>
  </si>
  <si>
    <t>26-56</t>
  </si>
  <si>
    <t xml:space="preserve">EF 17-35/2.8 L USM          </t>
  </si>
  <si>
    <t>17-35</t>
  </si>
  <si>
    <t>27-56</t>
  </si>
  <si>
    <t xml:space="preserve">EF 17-40/4 L USM            </t>
  </si>
  <si>
    <t>17-40</t>
  </si>
  <si>
    <t>27-64</t>
  </si>
  <si>
    <t xml:space="preserve">EF 20-35/2.8 L USM          </t>
  </si>
  <si>
    <t>20-35</t>
  </si>
  <si>
    <t>32-56</t>
  </si>
  <si>
    <t xml:space="preserve">EF 24-70/2.8 L USM          </t>
  </si>
  <si>
    <t>24-70</t>
  </si>
  <si>
    <t>38-110</t>
  </si>
  <si>
    <t>24-105</t>
  </si>
  <si>
    <t>38-168</t>
  </si>
  <si>
    <t xml:space="preserve">EF 28-70/2.8 L USM          </t>
  </si>
  <si>
    <t>28-70</t>
  </si>
  <si>
    <t>45-110</t>
  </si>
  <si>
    <t xml:space="preserve">EF 28-80/2.8-4 L USM        </t>
  </si>
  <si>
    <t>28-80</t>
  </si>
  <si>
    <t>2.8-4</t>
  </si>
  <si>
    <t>45-128</t>
  </si>
  <si>
    <t xml:space="preserve">EF 70-200/2.8 L USM      </t>
  </si>
  <si>
    <t>70-200</t>
  </si>
  <si>
    <t>110-320</t>
  </si>
  <si>
    <t xml:space="preserve">EF 70-200/2.8 L IS USM         </t>
  </si>
  <si>
    <t xml:space="preserve">EF 80-200/2.8 L             </t>
  </si>
  <si>
    <t>80-200</t>
  </si>
  <si>
    <t>128-320</t>
  </si>
  <si>
    <t>1.8</t>
  </si>
  <si>
    <t xml:space="preserve">EF 28-300/3.5-5.6 L IS USM  </t>
  </si>
  <si>
    <t>28-300</t>
  </si>
  <si>
    <t>3.5-5.6</t>
  </si>
  <si>
    <t>45-420</t>
  </si>
  <si>
    <t xml:space="preserve">EF 35-350/3.5-5.6 L USM     </t>
  </si>
  <si>
    <t>35-350</t>
  </si>
  <si>
    <t>56-560</t>
  </si>
  <si>
    <t xml:space="preserve">EF 50-200/3.5-4.5 L         </t>
  </si>
  <si>
    <t>50-200</t>
  </si>
  <si>
    <t>3.5-4.5</t>
  </si>
  <si>
    <t>80-320</t>
  </si>
  <si>
    <t xml:space="preserve">EF 100-300/5.6 L            </t>
  </si>
  <si>
    <t>100-300</t>
  </si>
  <si>
    <t>160-420</t>
  </si>
  <si>
    <t>100-400</t>
  </si>
  <si>
    <t>4.5-5.6</t>
  </si>
  <si>
    <t>160-640</t>
  </si>
  <si>
    <t xml:space="preserve">                            </t>
  </si>
  <si>
    <t>10-22</t>
  </si>
  <si>
    <t>EF-S</t>
  </si>
  <si>
    <t xml:space="preserve">EF 70-300/4-5.6 IS USM </t>
  </si>
  <si>
    <t>70-300</t>
  </si>
  <si>
    <t>4-5.6</t>
  </si>
  <si>
    <t>110-420</t>
  </si>
  <si>
    <t xml:space="preserve">EF 70-300/4.5-5.6 DO IS USM </t>
  </si>
  <si>
    <t>Sigma</t>
  </si>
  <si>
    <t>bi</t>
  </si>
  <si>
    <t>12-24</t>
  </si>
  <si>
    <t>19-38</t>
  </si>
  <si>
    <t>20-40</t>
  </si>
  <si>
    <t>32-64</t>
  </si>
  <si>
    <t>38-112</t>
  </si>
  <si>
    <t>45-112</t>
  </si>
  <si>
    <t>50-500</t>
  </si>
  <si>
    <t>4-6.5</t>
  </si>
  <si>
    <t>80-800</t>
  </si>
  <si>
    <t>1-3</t>
  </si>
  <si>
    <t>86c</t>
  </si>
  <si>
    <t>112-320</t>
  </si>
  <si>
    <t>120-300</t>
  </si>
  <si>
    <t>192-480</t>
  </si>
  <si>
    <t>300-800</t>
  </si>
  <si>
    <t>480-1280</t>
  </si>
  <si>
    <t>46di</t>
  </si>
  <si>
    <t>Tamron</t>
  </si>
  <si>
    <t>A2</t>
  </si>
  <si>
    <t>2.7-3.5</t>
  </si>
  <si>
    <t>28-75</t>
  </si>
  <si>
    <t>28-105</t>
  </si>
  <si>
    <t>70-210</t>
  </si>
  <si>
    <t>200-400</t>
  </si>
  <si>
    <t>200-500</t>
  </si>
  <si>
    <t>Tokina</t>
  </si>
  <si>
    <t>24-40</t>
  </si>
  <si>
    <t>2.6-2.8</t>
  </si>
  <si>
    <t>35-70</t>
  </si>
  <si>
    <t>K</t>
  </si>
  <si>
    <t>M42</t>
  </si>
  <si>
    <t>Pentax</t>
  </si>
  <si>
    <t>KA</t>
  </si>
  <si>
    <t>SMC Pentax 500/4.5 (ma)</t>
  </si>
  <si>
    <t>3.5</t>
  </si>
  <si>
    <t>4</t>
  </si>
  <si>
    <t>-</t>
  </si>
  <si>
    <t>b.i.</t>
  </si>
  <si>
    <t>Distagon T* 28/2</t>
  </si>
  <si>
    <t>Distagon T* 28/2.8</t>
  </si>
  <si>
    <t>Distagon T* 35/1.4</t>
  </si>
  <si>
    <t>Tessar T* 45/2.8</t>
  </si>
  <si>
    <t>Planar T* 50/1.4</t>
  </si>
  <si>
    <t>Planar T* 50/1.7</t>
  </si>
  <si>
    <t>Planar T* 85/1.4</t>
  </si>
  <si>
    <t>Planar T* 100/2</t>
  </si>
  <si>
    <t>Makro-Planar T* 100/2.8 [1:1]</t>
  </si>
  <si>
    <t>LR</t>
  </si>
  <si>
    <t>Super Angulon R 21mm f/4</t>
  </si>
  <si>
    <t>Nikkor 15/3.5</t>
  </si>
  <si>
    <t>AIS</t>
  </si>
  <si>
    <t>Nikkor 18/3.5</t>
  </si>
  <si>
    <t>Nikkor 20/2.8</t>
  </si>
  <si>
    <t>Nikkor 85/1.4 AIS</t>
  </si>
  <si>
    <t>Nikkor 105/1.8 AIS</t>
  </si>
  <si>
    <t>rf</t>
  </si>
  <si>
    <t>Schneider</t>
  </si>
  <si>
    <t>Yashinon macro</t>
  </si>
  <si>
    <t>Voigtlander</t>
  </si>
  <si>
    <t>Zenitar</t>
  </si>
  <si>
    <t>Extender EF 1.4x</t>
  </si>
  <si>
    <t>Extender EF 1.4x II</t>
  </si>
  <si>
    <t>Extender EF 2x</t>
  </si>
  <si>
    <t>Extender EF 2x II</t>
  </si>
  <si>
    <t>Comparison Page</t>
  </si>
  <si>
    <r>
      <t xml:space="preserve">filter diameter (mm), </t>
    </r>
    <r>
      <rPr>
        <b/>
        <sz val="10"/>
        <rFont val="Arial"/>
        <family val="2"/>
      </rPr>
      <t>rg</t>
    </r>
    <r>
      <rPr>
        <sz val="10"/>
        <rFont val="Arial"/>
        <family val="2"/>
      </rPr>
      <t xml:space="preserve"> = rear gel, </t>
    </r>
    <r>
      <rPr>
        <b/>
        <sz val="10"/>
        <rFont val="Arial"/>
        <family val="2"/>
      </rPr>
      <t xml:space="preserve">bi </t>
    </r>
    <r>
      <rPr>
        <sz val="10"/>
        <rFont val="Arial"/>
        <family val="2"/>
      </rPr>
      <t xml:space="preserve">= built in, </t>
    </r>
    <r>
      <rPr>
        <b/>
        <sz val="10"/>
        <rFont val="Arial"/>
        <family val="2"/>
      </rPr>
      <t xml:space="preserve">di </t>
    </r>
    <r>
      <rPr>
        <sz val="10"/>
        <rFont val="Arial"/>
        <family val="2"/>
      </rPr>
      <t xml:space="preserve"> = drop in</t>
    </r>
  </si>
  <si>
    <t>Distagon T* 25/2.8</t>
  </si>
  <si>
    <t>Sumilux-R 35/1.4</t>
  </si>
  <si>
    <t>Nikkor 35/1.4 AIS</t>
  </si>
  <si>
    <t>2.8</t>
  </si>
  <si>
    <t>AI</t>
  </si>
  <si>
    <t xml:space="preserve">Nikkor 200/2 AIS </t>
  </si>
  <si>
    <t>Canon EF Zoom</t>
  </si>
  <si>
    <t>Lens$db: Lens Price database</t>
  </si>
  <si>
    <t>vSonnar T* 28-85/3.3-4</t>
  </si>
  <si>
    <t>28-85</t>
  </si>
  <si>
    <t>3.3-4</t>
  </si>
  <si>
    <t>45-136</t>
  </si>
  <si>
    <t>Planar T* 135/2</t>
  </si>
  <si>
    <t>35-135</t>
  </si>
  <si>
    <t>56-215</t>
  </si>
  <si>
    <t>vSonnar T* 80-200mm f/4</t>
  </si>
  <si>
    <t>56-112</t>
  </si>
  <si>
    <t>vSonnar T* 28-70/3.3-4</t>
  </si>
  <si>
    <t>vSonnar T* 70-210mm f/3.5</t>
  </si>
  <si>
    <t>112-336</t>
  </si>
  <si>
    <t>Tele-Tessar T* 200/3.5</t>
  </si>
  <si>
    <t>Sonnar T* 180/2.8</t>
  </si>
  <si>
    <t>Sonnar T* 85/2.8</t>
  </si>
  <si>
    <t>Tele-Tessar T* 200/4</t>
  </si>
  <si>
    <t>Sonnar T* 135/2.8</t>
  </si>
  <si>
    <t>Sonnar T* 100/3.5</t>
  </si>
  <si>
    <t>Aposonnar T* 200/2</t>
  </si>
  <si>
    <t>Distagon T* 15/3.5 [x]</t>
  </si>
  <si>
    <t>Distagon T* 18/4 [x]</t>
  </si>
  <si>
    <t>SMC Pentax 18/3.5</t>
  </si>
  <si>
    <t>SMC Takumar 85/1.8</t>
  </si>
  <si>
    <t>SMC Takumar 135/2.5</t>
  </si>
  <si>
    <t>17-55</t>
  </si>
  <si>
    <t>27-88</t>
  </si>
  <si>
    <t>CY</t>
  </si>
  <si>
    <t>vSonnar T* 35-70/3.4</t>
  </si>
  <si>
    <t>EF 50/1.2 L USM</t>
  </si>
  <si>
    <t>AT-X Pro 12-24/4 DG</t>
  </si>
  <si>
    <t>AT-X Pro 20-35/2.8</t>
  </si>
  <si>
    <t>AT-X &amp; AT-X Pro SV</t>
  </si>
  <si>
    <t>AT-X Pro AF</t>
  </si>
  <si>
    <t>AT-X &amp; AT-X Pro 828 AF</t>
  </si>
  <si>
    <t>Elmarit R 24/2.8</t>
  </si>
  <si>
    <t>Nikkor 200-400/4 *ED MF</t>
  </si>
  <si>
    <t>320-640</t>
  </si>
  <si>
    <t>Tomioka</t>
  </si>
  <si>
    <t xml:space="preserve">Distagon T* 35/2.8 </t>
  </si>
  <si>
    <t>Distagon T* 21/2.8</t>
  </si>
  <si>
    <t xml:space="preserve">vSonnar T* 35-135/3.3-4.5  </t>
  </si>
  <si>
    <t>vSonnar T* 100-300/4.5-5.6</t>
  </si>
  <si>
    <t xml:space="preserve">Summilux-R 80/1.4  </t>
  </si>
  <si>
    <t>SP 180/2.5 LD IF MF</t>
  </si>
  <si>
    <t xml:space="preserve">Nikkor 135/2 AIS </t>
  </si>
  <si>
    <t>Olympus</t>
  </si>
  <si>
    <t>OM</t>
  </si>
  <si>
    <t>Zuiko Shift</t>
  </si>
  <si>
    <t>Zuiko Auto-W (fe)</t>
  </si>
  <si>
    <t xml:space="preserve">Canon: Tan Chung, www.tanchung.com/canon/canonlensesmain.htm     </t>
  </si>
  <si>
    <t>Canon: Reptile Garden Photography,  www.rgarden.glandrake.com/index.html</t>
  </si>
  <si>
    <t xml:space="preserve">Canon: Eric's Photos http://canid.com/canon_ef_lenses.html     </t>
  </si>
  <si>
    <t>Olympus: The Unofficial Olympus Sales Information File, http://vanveluwen.nl/eSIF/</t>
  </si>
  <si>
    <t>Contax Carl Zeiss www.zeiss.de and http://www.contaxusa.com/lenses.asp?itemnum=132000</t>
  </si>
  <si>
    <t>Contax etc. Leonard Foo, Photography in Malaysia http://mir.com.my/rb/photography/</t>
  </si>
  <si>
    <t xml:space="preserve">   additional information was taken from a variety of places, including:</t>
  </si>
  <si>
    <t xml:space="preserve">Pentax K: Boz Dimitriov Pentax K-Mount site http://www.bdimitrov.de/kmp/ </t>
  </si>
  <si>
    <t>Pentax Takumar M42: Ashai Optical Historical Society, www.aohc.it</t>
  </si>
  <si>
    <t>Nikon Lens Specifications by Roland Vink http://home19.inet.tele.dk/ne/nikon.htm</t>
  </si>
  <si>
    <t xml:space="preserve">PC Distagon T* 35/2.8 </t>
  </si>
  <si>
    <t xml:space="preserve">vSonnar T* 40-80/3.5 </t>
  </si>
  <si>
    <t>40-80</t>
  </si>
  <si>
    <t>64-128</t>
  </si>
  <si>
    <t>70co</t>
  </si>
  <si>
    <t>F-Distagon 16/2.8 fe</t>
  </si>
  <si>
    <t>co</t>
  </si>
  <si>
    <t xml:space="preserve">EF 16-35/2.8 L II USM          </t>
  </si>
  <si>
    <t>Nikkor 28/4 PC AI</t>
  </si>
  <si>
    <t>SMC Pentax-A 20/2.8</t>
  </si>
  <si>
    <t>SMC Pentax 28/2.5 Shift</t>
  </si>
  <si>
    <t>SMC Pentax 50/1.2</t>
  </si>
  <si>
    <t>SMC Pentax-A 50/1.2</t>
  </si>
  <si>
    <t>SMC Pentax-A 50/1.4</t>
  </si>
  <si>
    <t>SMC Pentax 85/1.8</t>
  </si>
  <si>
    <t>SMC Pentax 135/2.5</t>
  </si>
  <si>
    <t>SMC Pentax-M 135/3.5</t>
  </si>
  <si>
    <t>SMC Pentax 200/2.5</t>
  </si>
  <si>
    <t>SMC Pentax-A* ED 200/2.8</t>
  </si>
  <si>
    <t>SMC Pentax-A* ED 200/4 Macro</t>
  </si>
  <si>
    <t>SMC Pentax-A* ED 300/2.8 IF</t>
  </si>
  <si>
    <t>SMC Pentax-A* ED 400/2.8 IF</t>
  </si>
  <si>
    <t>SMC Pentax-A* ED 1200/8 IF</t>
  </si>
  <si>
    <t>Super-Takumar 20/4.5</t>
  </si>
  <si>
    <t>SMC Takumar 20/4.5</t>
  </si>
  <si>
    <t>SMC Takumar 500/4.5 ps</t>
  </si>
  <si>
    <t xml:space="preserve">All spreadsheet pages except for "compare" are 'protected' so that they can't be modified, but you can </t>
  </si>
  <si>
    <t>M645</t>
  </si>
  <si>
    <t>Mamiya</t>
  </si>
  <si>
    <t>P6</t>
  </si>
  <si>
    <t>1.9</t>
  </si>
  <si>
    <t>Xenotar MF 80/2.8</t>
  </si>
  <si>
    <t>43di</t>
  </si>
  <si>
    <t>PC-Super-Angulon 28/2.8 shift</t>
  </si>
  <si>
    <t>28</t>
  </si>
  <si>
    <t>39 di</t>
  </si>
  <si>
    <t>Fish-eye-Takumar FE 17/4</t>
  </si>
  <si>
    <t>10-17</t>
  </si>
  <si>
    <t>16-27</t>
  </si>
  <si>
    <t>Nikkor 50/1.2 AIS</t>
  </si>
  <si>
    <t>AT-X Pro, Pro II</t>
  </si>
  <si>
    <t>EF is Canon AF, others are various manual focus mounts</t>
  </si>
  <si>
    <t>focal length (mm)</t>
  </si>
  <si>
    <t>minimum focus distance (m)</t>
  </si>
  <si>
    <t>weight of lens (kg), not including caps</t>
  </si>
  <si>
    <t xml:space="preserve">maximum diameter of lens (mm) </t>
  </si>
  <si>
    <t>minimum length of lens (mm), usually at infinity focus</t>
  </si>
  <si>
    <t>Zeiss Jena</t>
  </si>
  <si>
    <t xml:space="preserve">EF 24-105/4 L IS USM          </t>
  </si>
  <si>
    <t>Nikkor 6/2.8 FE [220 deg]</t>
  </si>
  <si>
    <t xml:space="preserve">AT-X 10-17/3.5-4.5 DX FE </t>
  </si>
  <si>
    <t>160-480</t>
  </si>
  <si>
    <t>F</t>
  </si>
  <si>
    <t>Nikkor 8/2.8 FE [220 deg]</t>
  </si>
  <si>
    <t>.08-05</t>
  </si>
  <si>
    <t>SMC Pentax-A 15/3.5</t>
  </si>
  <si>
    <t>AT-X 24-40/2.8</t>
  </si>
  <si>
    <t>43.5di</t>
  </si>
  <si>
    <t>Mamiya-Sekor C 35/3.5 N</t>
  </si>
  <si>
    <t>Mamiya-Sekor C 45/2.8 N</t>
  </si>
  <si>
    <t>Mamiya-Sekor C 50/4 Shift</t>
  </si>
  <si>
    <t>Mamiya-Sekor C 55/2.8 N</t>
  </si>
  <si>
    <t>Mamiya-Sekor C 80/2.8 N</t>
  </si>
  <si>
    <t>Mamiya-Sekor C 80/4 N Macro</t>
  </si>
  <si>
    <t>Mamiya-Sekor C 150/3.5 N</t>
  </si>
  <si>
    <t>Mamiya-Sekor C 210/4 N</t>
  </si>
  <si>
    <t>Mamiya A 200/2.8 APO</t>
  </si>
  <si>
    <t>Mamiya A 500/4.5 APO</t>
  </si>
  <si>
    <t>150-500</t>
  </si>
  <si>
    <t>240-800</t>
  </si>
  <si>
    <t xml:space="preserve">Mamiya-Sekor C 80/1.9 </t>
  </si>
  <si>
    <t>EF-S 10-22/3.5-4.5 USM</t>
  </si>
  <si>
    <t>EF-S 17-55/2.8 IS USM</t>
  </si>
  <si>
    <t>EX 50/1.4 DG HSM</t>
  </si>
  <si>
    <t>14-24</t>
  </si>
  <si>
    <t>22-38</t>
  </si>
  <si>
    <t>AF-S</t>
  </si>
  <si>
    <t>EF Extenders (teleconverters)</t>
  </si>
  <si>
    <t>x1.4</t>
  </si>
  <si>
    <t>x2</t>
  </si>
  <si>
    <t>Planar T* 85/1.4 ZE</t>
  </si>
  <si>
    <t>Distagon T* 21/2.8 ZE</t>
  </si>
  <si>
    <t>Planar T* 50/1.4 ZE</t>
  </si>
  <si>
    <t>Mamiya C ULD 105-210/4.5</t>
  </si>
  <si>
    <t>105-210</t>
  </si>
  <si>
    <t>55-110</t>
  </si>
  <si>
    <t>SP 20-40/2.7-3.5 ASP IF</t>
  </si>
  <si>
    <t>SP 28-75/2.8 XR Di AF</t>
  </si>
  <si>
    <t>Mamiya-Sekor C 24/4 ULD FE</t>
  </si>
  <si>
    <t>Mamiya-Sekor C 80/1.9 N</t>
  </si>
  <si>
    <t>MFD</t>
  </si>
  <si>
    <t>EF 35/2</t>
  </si>
  <si>
    <t>.09-02</t>
  </si>
  <si>
    <t>.09-03</t>
  </si>
  <si>
    <t>PC Super-Angulon 28/2.8 shift</t>
  </si>
  <si>
    <t>AT-X 11-16/2.8 Pro DX Asp</t>
  </si>
  <si>
    <t>11-16</t>
  </si>
  <si>
    <t>18-26</t>
  </si>
  <si>
    <t>320-800</t>
  </si>
  <si>
    <t>(23.2k)</t>
  </si>
  <si>
    <t>72di</t>
  </si>
  <si>
    <t>2,5</t>
  </si>
  <si>
    <t>.09-04</t>
  </si>
  <si>
    <t>Mamiya-Sekor C 300/5.6 N</t>
  </si>
  <si>
    <t>Mamiya-Sekor C 500/5.6</t>
  </si>
  <si>
    <t xml:space="preserve">Mamiya A 150/2.8 </t>
  </si>
  <si>
    <t>.09-05</t>
  </si>
  <si>
    <t>Leica</t>
  </si>
  <si>
    <t xml:space="preserve">20/3.5 Color Skopar Asp SL II </t>
  </si>
  <si>
    <t xml:space="preserve">35/2.8 Color Skoparex SL </t>
  </si>
  <si>
    <t xml:space="preserve">40/2 Ultron Asp SL II </t>
  </si>
  <si>
    <t xml:space="preserve">50/1.8 Color Ultron SL </t>
  </si>
  <si>
    <t xml:space="preserve">58/1.4 Nokton SL-II </t>
  </si>
  <si>
    <t xml:space="preserve">75/2.5 Color Heliar SL </t>
  </si>
  <si>
    <t>90/3.5 Apo-Lanthar CF SL</t>
  </si>
  <si>
    <t xml:space="preserve">180/4 Apo-Lanthar CF SL </t>
  </si>
  <si>
    <t>N</t>
  </si>
  <si>
    <t>PA-Curtagon 35/4 Shift</t>
  </si>
  <si>
    <t>Planar T* 50/1.4 N</t>
  </si>
  <si>
    <t>Planar T* 85/1.4 N</t>
  </si>
  <si>
    <t>Makro-Sonnar T* 100/2.8</t>
  </si>
  <si>
    <t>vSonnar T* 17-35/2.8 N</t>
  </si>
  <si>
    <t>Tele-Apotessar T* 400/4 N</t>
  </si>
  <si>
    <t>d.i.</t>
  </si>
  <si>
    <t>Tele-Apotessar T* 300/2.8</t>
  </si>
  <si>
    <t>Tele-Apotessar T* 500/5.6</t>
  </si>
  <si>
    <t>Tele-Apotessar T* 800/8</t>
  </si>
  <si>
    <t>c.o.</t>
  </si>
  <si>
    <t>Mamiya C 55-110/4.5 N</t>
  </si>
  <si>
    <t xml:space="preserve">Medium Format Lenses </t>
  </si>
  <si>
    <t>f (mm)</t>
  </si>
  <si>
    <t>40 - 60</t>
  </si>
  <si>
    <t>60 - 100</t>
  </si>
  <si>
    <t>100 - 210</t>
  </si>
  <si>
    <t>210 - 400</t>
  </si>
  <si>
    <t>Ultra-Wide (UW)</t>
  </si>
  <si>
    <t>Wide (W)</t>
  </si>
  <si>
    <t>Normal (N)</t>
  </si>
  <si>
    <t>Short Telephoto (ST)</t>
  </si>
  <si>
    <t>Medium Telephoto (MT)</t>
  </si>
  <si>
    <t>Long Telephoto (LT)</t>
  </si>
  <si>
    <t>L</t>
  </si>
  <si>
    <t>D</t>
  </si>
  <si>
    <t>Df</t>
  </si>
  <si>
    <t>Elmarit R Super-W 19/2.8 [x]</t>
  </si>
  <si>
    <t xml:space="preserve">Mamiya-Sekor C 80/2.8 </t>
  </si>
  <si>
    <t>EF-S 15-85/3.5-5.6 IS USM</t>
  </si>
  <si>
    <t>15-85</t>
  </si>
  <si>
    <t>24-135</t>
  </si>
  <si>
    <t>Nikkor 35/2.8 PC n AI (bk knob)</t>
  </si>
  <si>
    <t>.09-08</t>
  </si>
  <si>
    <t>STT</t>
  </si>
  <si>
    <t>CZ.V</t>
  </si>
  <si>
    <t>LNOP</t>
  </si>
  <si>
    <t>Mamiya 645 medium format lenses, plus a few more</t>
  </si>
  <si>
    <t>SP 14/2.8 LD Asp IF</t>
  </si>
  <si>
    <t>Zenit 16/2.8 FE (180/44)</t>
  </si>
  <si>
    <t>S-Planar 100/4 (bellows)</t>
  </si>
  <si>
    <t>SMC Pentax-A 16/2.8 FE</t>
  </si>
  <si>
    <t xml:space="preserve">SMC Pentax 17/4 FE </t>
  </si>
  <si>
    <t>SMC Takumar FE 17/4</t>
  </si>
  <si>
    <t>Distagon T* 18/3.5 ZE</t>
  </si>
  <si>
    <t>Canon EF L series zoom lenses, plus a few others</t>
  </si>
  <si>
    <t>Canon EF prime lenses &amp; extenders</t>
  </si>
  <si>
    <t>Mamiya M645 manual focus</t>
  </si>
  <si>
    <t>Sigma EX autofocus</t>
  </si>
  <si>
    <t>Tamron SP manual and autofocus</t>
  </si>
  <si>
    <t>Tokina manual and autofocus</t>
  </si>
  <si>
    <t>Carl Zeiss Contax (Contax/Yashica, C/Y), manual focus</t>
  </si>
  <si>
    <t>Carl Zeiss Contax N autofocus</t>
  </si>
  <si>
    <t>Voigtlander 35mm manual focus</t>
  </si>
  <si>
    <t>Schneider-Kreuznach 35mm manual focus</t>
  </si>
  <si>
    <t>Pentax SMC K-mount manual focus</t>
  </si>
  <si>
    <t>Olympus OM  manual focus</t>
  </si>
  <si>
    <t>Nikon AIS/ AI  manual focus</t>
  </si>
  <si>
    <t>Pentax Takumar &amp; SMC Takumar M42 manual focus</t>
  </si>
  <si>
    <t>Carl Zeiss ZE manual focus for Canon EOS</t>
  </si>
  <si>
    <t>Nikkor 20/3.5</t>
  </si>
  <si>
    <t>Carl Zeiss Jena manual focus (no zebras)</t>
  </si>
  <si>
    <t>camtec</t>
  </si>
  <si>
    <t>400 - 800</t>
  </si>
  <si>
    <t>800+</t>
  </si>
  <si>
    <t>Extreme Telephoto (ET))</t>
  </si>
  <si>
    <t>Very Wide (VW)</t>
  </si>
  <si>
    <t>10 - 20</t>
  </si>
  <si>
    <t>20 - 28</t>
  </si>
  <si>
    <t>28 - 40</t>
  </si>
  <si>
    <t>.09-09</t>
  </si>
  <si>
    <t>82*</t>
  </si>
  <si>
    <t>* hood accepts filter</t>
  </si>
  <si>
    <t>Distagon T* 28/2 ZE</t>
  </si>
  <si>
    <t>Distagon T* 35/2 ZE</t>
  </si>
  <si>
    <t>.09-10</t>
  </si>
  <si>
    <t>85/1.4 Aspherical IF</t>
  </si>
  <si>
    <t>SMC Pentax-A* 600/5.6  ED IF</t>
  </si>
  <si>
    <t>112-49</t>
  </si>
  <si>
    <t xml:space="preserve">122-39 </t>
  </si>
  <si>
    <t>cameta</t>
  </si>
  <si>
    <t>265</t>
  </si>
  <si>
    <t>Summicron-R 35/2  E55</t>
  </si>
  <si>
    <t>VII</t>
  </si>
  <si>
    <t>Elmarit R-35/2.8 III E55 h-bi</t>
  </si>
  <si>
    <t>VIII</t>
  </si>
  <si>
    <t>Fisheye-Elmarit-R</t>
  </si>
  <si>
    <t>Summicron-R 35/2 3cam</t>
  </si>
  <si>
    <t>Elmarit R-35/2.8 II h-lugs</t>
  </si>
  <si>
    <t>bergen</t>
  </si>
  <si>
    <t>.09-12</t>
  </si>
  <si>
    <t>Apo-Summicron-R 180/2</t>
  </si>
  <si>
    <t>Apo-Elmarit-R 180/2.8</t>
  </si>
  <si>
    <t>Elmarit-R 180/2.8 II</t>
  </si>
  <si>
    <t xml:space="preserve">Elmar-R 180/4  </t>
  </si>
  <si>
    <t>Telyt-R 250/4</t>
  </si>
  <si>
    <t xml:space="preserve">Apo-Telyt-R 280/2.8  </t>
  </si>
  <si>
    <t>Macro-Elmarit-R 60/2.8 3-cam</t>
  </si>
  <si>
    <t>bklyn</t>
  </si>
  <si>
    <t>s8</t>
  </si>
  <si>
    <t>8elm</t>
  </si>
  <si>
    <t>Super-Telephoto (SST)</t>
  </si>
  <si>
    <t xml:space="preserve">Elmarit-R 135/2.8 </t>
  </si>
  <si>
    <t>.10-01</t>
  </si>
  <si>
    <t>SMC Pentax 85/2.2 Soft</t>
  </si>
  <si>
    <t>Elmarit R 90/2.8 E55</t>
  </si>
  <si>
    <t>Summicron-R 50/2 E55</t>
  </si>
  <si>
    <t>17.4k</t>
  </si>
  <si>
    <t>Summicron-R 90/2 E55</t>
  </si>
  <si>
    <t>Apo-Telyt-R 180/3.4 E60</t>
  </si>
  <si>
    <t>.10-02</t>
  </si>
  <si>
    <t>Data sources:</t>
  </si>
  <si>
    <t>Voigtlander SL, LTM, LM: CameraQuest http://cameraquest.com/inventor.htm</t>
  </si>
  <si>
    <t>SP 300/5.6 (54B)</t>
  </si>
  <si>
    <t>SP 17/35 [151B]</t>
  </si>
  <si>
    <t>SP 17/3.5 [51B] (bi filters)</t>
  </si>
  <si>
    <t>24-85</t>
  </si>
  <si>
    <t>Pancolar MC 80/1.8</t>
  </si>
  <si>
    <t>Nikkor ED 500/4 P</t>
  </si>
  <si>
    <t>Nikkor *ED 600/5.6  IF MF</t>
  </si>
  <si>
    <t>Nikkor *ED 600/4 IF MF</t>
  </si>
  <si>
    <t>Nikkor *ED 800/5.6 IF MF</t>
  </si>
  <si>
    <t>Nikkor *ED 400/3.5 IF MF</t>
  </si>
  <si>
    <t>Nikkor *ED 300/2 IF N</t>
  </si>
  <si>
    <t>Nikkor *ED 300/2.8 IF N</t>
  </si>
  <si>
    <t>Nikkor *ED 400/2.8 IF MF</t>
  </si>
  <si>
    <t xml:space="preserve">125/2.5 Apo-Lanthar Macro SL </t>
  </si>
  <si>
    <t>.10-04</t>
  </si>
  <si>
    <t>Elmarit R 24/2.8 ROM</t>
  </si>
  <si>
    <t>Sumilux-R 35/1.4 ROM</t>
  </si>
  <si>
    <t>Summicron-R 35/2  ROM</t>
  </si>
  <si>
    <t>Leica-R manual focus 2-cam, 3-cam, ROM</t>
  </si>
  <si>
    <t>Apo-Telyt-R 280/4 ROM</t>
  </si>
  <si>
    <t>EF 200/1.8 L USM</t>
  </si>
  <si>
    <t>EF 300/4 L IS USM</t>
  </si>
  <si>
    <t>.10-05</t>
  </si>
  <si>
    <t>EF 70-200/2.8 L IS II USM</t>
  </si>
  <si>
    <t>ffordes</t>
  </si>
  <si>
    <t>.10-06</t>
  </si>
  <si>
    <t>Summilux-R 50/1.4 E55 h-bi</t>
  </si>
  <si>
    <t>Samyang</t>
  </si>
  <si>
    <t>5.6-6.3</t>
  </si>
  <si>
    <t xml:space="preserve">EF 70-300/4-5.6L IS USM </t>
  </si>
  <si>
    <t>EF 8-15mm f/4L Fisheye USM</t>
  </si>
  <si>
    <t>8-15</t>
  </si>
  <si>
    <t>Extender EF 1.4x III</t>
  </si>
  <si>
    <t>Extender EF 2x III</t>
  </si>
  <si>
    <t>13-24</t>
  </si>
  <si>
    <t>38-136</t>
  </si>
  <si>
    <t xml:space="preserve">EF 28-135/3.5-5.6 IS USM    </t>
  </si>
  <si>
    <t>28-135</t>
  </si>
  <si>
    <t>45-215</t>
  </si>
  <si>
    <t>SP 400mm f/4 LD (IF) MF</t>
  </si>
  <si>
    <t>90/3.5 Apo-Lanthar CF SL II</t>
  </si>
  <si>
    <t>35/1.4 AS UMC</t>
  </si>
  <si>
    <t xml:space="preserve">EX 300-800/5.6 APO IF HSM </t>
  </si>
  <si>
    <t>EX 20/1.8 Asp DG RF rl</t>
  </si>
  <si>
    <t>.10-09</t>
  </si>
  <si>
    <t>kevin</t>
  </si>
  <si>
    <t>Pancolar MC 50/1.8</t>
  </si>
  <si>
    <t>Zuiko 50/1.2 Auto-S</t>
  </si>
  <si>
    <t xml:space="preserve">SP 24-135/3.5-5.6 AF </t>
  </si>
  <si>
    <t>AT-X Pro 16-28/2.8 FX</t>
  </si>
  <si>
    <t>16-28</t>
  </si>
  <si>
    <t>26-45</t>
  </si>
  <si>
    <t>35-80</t>
  </si>
  <si>
    <t>2.8-3.5</t>
  </si>
  <si>
    <t xml:space="preserve">SP 35-80/2.8-3.5 MF </t>
  </si>
  <si>
    <t>SP 80-200/2.8 LD pp</t>
  </si>
  <si>
    <t>LD 200-400/5.6 IF</t>
  </si>
  <si>
    <t>SP 200-500/5.6-6.3 LD IF</t>
  </si>
  <si>
    <t>SP 28-105/2.8 LD ASP AF</t>
  </si>
  <si>
    <t>SP 70-300/4-5.6 VC</t>
  </si>
  <si>
    <t>38-216</t>
  </si>
  <si>
    <t>56-128</t>
  </si>
  <si>
    <t>24-48</t>
  </si>
  <si>
    <t>38-76</t>
  </si>
  <si>
    <t>3.5-3.8</t>
  </si>
  <si>
    <t>SP 24-48/3.5-3.8</t>
  </si>
  <si>
    <t>77*</t>
  </si>
  <si>
    <t>.10-11</t>
  </si>
  <si>
    <t>Elmarit-R 28/2.8  E55 pre-ROM</t>
  </si>
  <si>
    <t>Nikkor-P Auto 105/2.5</t>
  </si>
  <si>
    <t>Nikkor 105/2.5</t>
  </si>
  <si>
    <t>.11-01</t>
  </si>
  <si>
    <r>
      <t>f.Zone</t>
    </r>
    <r>
      <rPr>
        <sz val="8"/>
        <rFont val="Arial"/>
        <family val="2"/>
      </rPr>
      <t xml:space="preserve">   © J Colwell 2011</t>
    </r>
  </si>
  <si>
    <t>Sigma, Tamron and Tokina</t>
  </si>
  <si>
    <t>Leica-R, Nikon AI/S, Olympus, Pentax, and a few more</t>
  </si>
  <si>
    <t>4, 5.6</t>
  </si>
  <si>
    <t>EF 200-400/4 L IS 1.4x</t>
  </si>
  <si>
    <t>Apo-Summicron-R 90/2 ASPH</t>
  </si>
  <si>
    <t xml:space="preserve">SMC Pentax-A* 85mm f/1.4 </t>
  </si>
  <si>
    <t>SMC Pentax-A* 135mm f/1.8</t>
  </si>
  <si>
    <t>Mamiya-Sekor C 145/4 SF</t>
  </si>
  <si>
    <t>45-115</t>
  </si>
  <si>
    <t>45-168</t>
  </si>
  <si>
    <t>.11-04</t>
  </si>
  <si>
    <t>AT-X 17/3.5 AF Pro</t>
  </si>
  <si>
    <t>70-150</t>
  </si>
  <si>
    <t>SP 70-150/2.8 Soft [51A]</t>
  </si>
  <si>
    <t>14/2.8 AS UMC</t>
  </si>
  <si>
    <t>Pancolar MC 50/1.4</t>
  </si>
  <si>
    <t>vSonnar T* 70-300/4-5.6 N</t>
  </si>
  <si>
    <t>112-420</t>
  </si>
  <si>
    <t>Noct-Nikkor 58/1.2</t>
  </si>
  <si>
    <t>.11-05</t>
  </si>
  <si>
    <t>compare</t>
  </si>
  <si>
    <t>unprotected page for "=" relatioships with previous pages, for easy comparison of items.</t>
  </si>
  <si>
    <t xml:space="preserve">select an entire page and paste it to a new spreadsheet of your own without protection.  </t>
  </si>
  <si>
    <t>Makro-Planar T* 50/2 ZE [1:2]</t>
  </si>
  <si>
    <t>Distagon T* 35/1.4 ZE</t>
  </si>
  <si>
    <t>LM</t>
  </si>
  <si>
    <t>12/5.6 ASPH UW Heliar II</t>
  </si>
  <si>
    <t>LTM</t>
  </si>
  <si>
    <t>50/1.1 Nokton</t>
  </si>
  <si>
    <t>50/1.5 ASPH  Nokton</t>
  </si>
  <si>
    <t>75/1.8 Heliar Classic</t>
  </si>
  <si>
    <t>Rokinon</t>
  </si>
  <si>
    <t>SP 350/5.6 Cat</t>
  </si>
  <si>
    <t>Makro-Planar T* 100/2 ZE [1:2]</t>
  </si>
  <si>
    <t xml:space="preserve">       E  to E+</t>
  </si>
  <si>
    <t>E  to E+</t>
  </si>
  <si>
    <t>SP 90/2.8 AF Di Macro 1:1</t>
  </si>
  <si>
    <t>.11-10</t>
  </si>
  <si>
    <t>Distagon T* 25/2 ZE</t>
  </si>
  <si>
    <t>EF 135/2 L USM</t>
  </si>
  <si>
    <t>24/1.4 AS UMC</t>
  </si>
  <si>
    <t>jack's</t>
  </si>
  <si>
    <t>.11-11</t>
  </si>
  <si>
    <t>Curtagon MF 60/3.5</t>
  </si>
  <si>
    <t>Pentacon Six, Sch-K lenses, TRA http://www.pentaconsix.com/Schneiderdata.htm</t>
  </si>
  <si>
    <t>5.6</t>
  </si>
  <si>
    <t>Tele-Xenar MF 150/4</t>
  </si>
  <si>
    <t>Tele-Xenar MF 250/5.6</t>
  </si>
  <si>
    <t xml:space="preserve">EF 100-400/4.5-5.6 L IS USM  </t>
  </si>
  <si>
    <t>.11-12</t>
  </si>
  <si>
    <t>Fujifilm</t>
  </si>
  <si>
    <t>X</t>
  </si>
  <si>
    <t>Fujinon XF 35/1.4 R</t>
  </si>
  <si>
    <t>Fujinon XF 14/2.8 R</t>
  </si>
  <si>
    <t>Zuiko 90/2 MC Macro</t>
  </si>
  <si>
    <t>Fujinon XF 18/2 R</t>
  </si>
  <si>
    <t>Fujinon XF 60/2.4 R Macro</t>
  </si>
  <si>
    <t>Canon RF</t>
  </si>
  <si>
    <t>50/1.2</t>
  </si>
  <si>
    <t>XF</t>
  </si>
  <si>
    <t>2450</t>
  </si>
  <si>
    <t>50/0.95</t>
  </si>
  <si>
    <t>Canon rangefinder lenses http://www.huffman.tk/id25.html</t>
  </si>
  <si>
    <t>35/2</t>
  </si>
  <si>
    <t>Canon rangefinder lenses http://www.taunusreiter.de/Cameras/Canon_RF_2e.html</t>
  </si>
  <si>
    <t>Fujifilm X mount and compatible (limited selection of LM, LTM, &amp; misc RF)</t>
  </si>
  <si>
    <t>.12-01</t>
  </si>
  <si>
    <t>SP 24-70/2.8 Di VC USD</t>
  </si>
  <si>
    <t>112-480</t>
  </si>
  <si>
    <t>112-240</t>
  </si>
  <si>
    <t xml:space="preserve">320-640 </t>
  </si>
  <si>
    <t>38-64</t>
  </si>
  <si>
    <t xml:space="preserve">EF 24-70/2.8 L II USM          </t>
  </si>
  <si>
    <t>macro Sekor 60/2.8 [1:1]</t>
  </si>
  <si>
    <t xml:space="preserve">Nikkor-N 50/1.1 </t>
  </si>
  <si>
    <t>1.1</t>
  </si>
  <si>
    <t>S</t>
  </si>
  <si>
    <t>28/1.9 ASPH Ultron (D)</t>
  </si>
  <si>
    <t>28/2 Ultron</t>
  </si>
  <si>
    <t>35/1.2 Nokton ASPH II</t>
  </si>
  <si>
    <t>c'quest</t>
  </si>
  <si>
    <t xml:space="preserve">12/5.6 ASPH UW Heliar </t>
  </si>
  <si>
    <t>15/4.5 ASPH SW Heliar DS</t>
  </si>
  <si>
    <t xml:space="preserve">15/4.5 ASPH SW Heliar </t>
  </si>
  <si>
    <t xml:space="preserve">35/1.2 Nokton ASPH </t>
  </si>
  <si>
    <t>35/1.4  MC/SC  Nokton</t>
  </si>
  <si>
    <t>40/1.4 MC/SC Nokton</t>
  </si>
  <si>
    <t>tamark</t>
  </si>
  <si>
    <t>Nikkor 14-24/2.8 G ED AF-S</t>
  </si>
  <si>
    <t>.12-02</t>
  </si>
  <si>
    <t xml:space="preserve">EF 14/2.8 L USM      </t>
  </si>
  <si>
    <t xml:space="preserve">EF 14/2.8 L II USM      </t>
  </si>
  <si>
    <t xml:space="preserve">EF 15/2.8  (180/44)    </t>
  </si>
  <si>
    <t xml:space="preserve">TS-E 17/4 L       </t>
  </si>
  <si>
    <t xml:space="preserve">EF 20/2.8 USM       </t>
  </si>
  <si>
    <t xml:space="preserve">EF 24/1.4 L USM      </t>
  </si>
  <si>
    <t xml:space="preserve">EF 24/1.4 L II USM      </t>
  </si>
  <si>
    <t xml:space="preserve">EF 24/2.8         </t>
  </si>
  <si>
    <t xml:space="preserve">TS-E 24/3.5 L      </t>
  </si>
  <si>
    <t xml:space="preserve">TS-E 24/3.5 L II    </t>
  </si>
  <si>
    <t xml:space="preserve">EF 28/1.8 USM       </t>
  </si>
  <si>
    <t xml:space="preserve">EF 28/2.8         </t>
  </si>
  <si>
    <t xml:space="preserve">EF 35/1.4 L USM      </t>
  </si>
  <si>
    <t xml:space="preserve">TS-E 45/2.8      </t>
  </si>
  <si>
    <t xml:space="preserve">EF 50/1.0 L USM      </t>
  </si>
  <si>
    <t xml:space="preserve">EF 50/1.4 USM       </t>
  </si>
  <si>
    <t xml:space="preserve">EF 50/1.8         </t>
  </si>
  <si>
    <t xml:space="preserve">EF 50/1.8 II       </t>
  </si>
  <si>
    <t xml:space="preserve">EF 50/2.5 Compact-Macro      </t>
  </si>
  <si>
    <t xml:space="preserve">EF 85/1.2 L USM      </t>
  </si>
  <si>
    <t xml:space="preserve">EF 85/1.2 L II USM      </t>
  </si>
  <si>
    <t xml:space="preserve">TS-E 90/2.8       </t>
  </si>
  <si>
    <t xml:space="preserve">EF 100/2.0 USM      </t>
  </si>
  <si>
    <t xml:space="preserve">EF 100/2.8 Macro     </t>
  </si>
  <si>
    <t xml:space="preserve">EF 100/2.8 Macro USM   </t>
  </si>
  <si>
    <t xml:space="preserve">EF 100/2.8 L IS Macro USM   </t>
  </si>
  <si>
    <t xml:space="preserve">EF 135/2.8 Soft      </t>
  </si>
  <si>
    <t xml:space="preserve">EF 180/3.5 L Macro USM  </t>
  </si>
  <si>
    <t xml:space="preserve">EF 200/2 L IS USM     </t>
  </si>
  <si>
    <t xml:space="preserve">EF 200/2.8 L USM     </t>
  </si>
  <si>
    <t xml:space="preserve">EF 300/2.8 L USM     </t>
  </si>
  <si>
    <t xml:space="preserve">EF 300/2.8 L IS II USM   </t>
  </si>
  <si>
    <t xml:space="preserve">EF 300/4 L USM    </t>
  </si>
  <si>
    <t xml:space="preserve">EF 400/2.8 L USM     </t>
  </si>
  <si>
    <t xml:space="preserve">EF 400/2.8 L IS USM    </t>
  </si>
  <si>
    <t xml:space="preserve">EF 400/2.8 L IS II USM    </t>
  </si>
  <si>
    <t xml:space="preserve">EF 400/4 DO IS USM </t>
  </si>
  <si>
    <t xml:space="preserve">EF 400/5.6 L USM     </t>
  </si>
  <si>
    <t xml:space="preserve">EF 500/4 L IS USM    </t>
  </si>
  <si>
    <t xml:space="preserve">EF 500/4 L IS II USM    </t>
  </si>
  <si>
    <t xml:space="preserve">EF 500/4.5 L USM     </t>
  </si>
  <si>
    <t xml:space="preserve">EF 600/4 L USM      </t>
  </si>
  <si>
    <t xml:space="preserve">EF 600/4 L IS USM  </t>
  </si>
  <si>
    <t xml:space="preserve">EF 600/4 L IS II USM  </t>
  </si>
  <si>
    <t xml:space="preserve">EF 800/5.6 L IS USM  </t>
  </si>
  <si>
    <t xml:space="preserve">EF 1200/5.6 L USM     </t>
  </si>
  <si>
    <t xml:space="preserve">Mamiya A 120/4 Macro </t>
  </si>
  <si>
    <t>EF 300/2.8 L IS USM</t>
  </si>
  <si>
    <t>vSonnar T* 24-85/3.5-4.5 N</t>
  </si>
  <si>
    <t>EF 70-200/4 L USM</t>
  </si>
  <si>
    <t>49&gt;72</t>
  </si>
  <si>
    <t>SMC Pentax-A 50/2.8 Macro</t>
  </si>
  <si>
    <t xml:space="preserve">` </t>
  </si>
  <si>
    <t>.12-05</t>
  </si>
  <si>
    <t>.12-04</t>
  </si>
  <si>
    <t>1.5-2.5</t>
  </si>
  <si>
    <t>695</t>
  </si>
  <si>
    <t>SP 200-500/5.6 LD IF [31A]</t>
  </si>
  <si>
    <t>Fujinon XF 10-24/4 OIS</t>
  </si>
  <si>
    <t>Fujinon XF 18-55/2.8-4 OIS</t>
  </si>
  <si>
    <t>55-200</t>
  </si>
  <si>
    <t>3.5-4.8</t>
  </si>
  <si>
    <t>10-24</t>
  </si>
  <si>
    <t>18-55</t>
  </si>
  <si>
    <t>Fujinon XF 27/2.8 R</t>
  </si>
  <si>
    <t>Fujinon XF 23/1.4 R</t>
  </si>
  <si>
    <t xml:space="preserve">EX 200-500/2.8 APO IF HSM </t>
  </si>
  <si>
    <t>Nikkor 13/5.6</t>
  </si>
  <si>
    <t>Apo Sonnar T* 135/2 ZE</t>
  </si>
  <si>
    <t>Zuiko 40/2 Auto-S</t>
  </si>
  <si>
    <t>Cosina</t>
  </si>
  <si>
    <t>Revuenon 55/1.2</t>
  </si>
  <si>
    <t>Summilux-R 50/1.4 E60 ROM</t>
  </si>
  <si>
    <t>EF 24/2.8 IS USM</t>
  </si>
  <si>
    <t>EF 28/2.8 IS USM</t>
  </si>
  <si>
    <t>EF 40/2.8 STM</t>
  </si>
  <si>
    <t>.12-09</t>
  </si>
  <si>
    <t>AT-X Pro 17-35/4 FX</t>
  </si>
  <si>
    <t>EX 120-300/2.8 OS HSM</t>
  </si>
  <si>
    <t>EX 120-300/2.8 HSM</t>
  </si>
  <si>
    <t>Nikkor 28/3.5 PC AI (bk knob)</t>
  </si>
  <si>
    <t>5-6.3</t>
  </si>
  <si>
    <t>.12-11</t>
  </si>
  <si>
    <t>.12-10</t>
  </si>
  <si>
    <t xml:space="preserve">28/2.8 Color Skopar Asp SL II </t>
  </si>
  <si>
    <t>SP 180/3.5 AF Di Macro 1:1</t>
  </si>
  <si>
    <t>Zuiko 200/4 Auto-T</t>
  </si>
  <si>
    <t>Auto-Takumar 85/1.8</t>
  </si>
  <si>
    <t>Zuiko Zoom 35-80/2.8 (ED)</t>
  </si>
  <si>
    <t>Zuiko 100/2 Auto-T (ED)</t>
  </si>
  <si>
    <t>EF 35/2 IS</t>
  </si>
  <si>
    <t xml:space="preserve">Sigma </t>
  </si>
  <si>
    <t xml:space="preserve">EF 24-70/4 L IS USM          </t>
  </si>
  <si>
    <t>.12-12</t>
  </si>
  <si>
    <t xml:space="preserve">21/1.8 ASPH Ultron </t>
  </si>
  <si>
    <t>SMC Pentax 20/4</t>
  </si>
  <si>
    <t>SMC Pentax-M 20/4</t>
  </si>
  <si>
    <t>SP 90/2.5 Macro [58BB]</t>
  </si>
  <si>
    <t>mamyia/sekor AUTO 21/4 SX</t>
  </si>
  <si>
    <t>mamyia/sekor AUTO 50/1.4 SX</t>
  </si>
  <si>
    <t>mamyia/sekor AUTO 85/1.7 SX</t>
  </si>
  <si>
    <t>15-35</t>
  </si>
  <si>
    <t>Carl Zeiss M42</t>
  </si>
  <si>
    <t>Ultron 50/1.8</t>
  </si>
  <si>
    <t>mamyia/sekor AUTO 35/2.8 SX</t>
  </si>
  <si>
    <t>.13-01</t>
  </si>
  <si>
    <t>Zuiko 50/1.8 Auto-S</t>
  </si>
  <si>
    <t>.13-02</t>
  </si>
  <si>
    <t>EFm</t>
  </si>
  <si>
    <t>EFx</t>
  </si>
  <si>
    <t>Other manual focus</t>
  </si>
  <si>
    <t>Minolta</t>
  </si>
  <si>
    <t>Zuiko 135/4.5 MC Macro</t>
  </si>
  <si>
    <t xml:space="preserve">Zuiko 85/2 Auto-T </t>
  </si>
  <si>
    <t xml:space="preserve">Zuiko 55/1.2 Auto-S </t>
  </si>
  <si>
    <t xml:space="preserve">Zuiko, H.Zuiko </t>
  </si>
  <si>
    <t xml:space="preserve">  </t>
  </si>
  <si>
    <t>Summilux-R 80/1.4  ROM</t>
  </si>
  <si>
    <t>Sonnar MC 135/3.5</t>
  </si>
  <si>
    <t xml:space="preserve">Flektogon 20/2.8 </t>
  </si>
  <si>
    <t xml:space="preserve">Flektogon 20/4 </t>
  </si>
  <si>
    <t xml:space="preserve">Flektogon 35/2.4 MC </t>
  </si>
  <si>
    <t>Sonnar MC 200/2.8</t>
  </si>
  <si>
    <t>Sonnar MC 180/2.8</t>
  </si>
  <si>
    <t>EX 28/1.8</t>
  </si>
  <si>
    <t>SMC Pentax 28/2</t>
  </si>
  <si>
    <t>ctc</t>
  </si>
  <si>
    <t>Mamiya-Sekor C 110/2.8 N</t>
  </si>
  <si>
    <t xml:space="preserve">SMC Pentax-M, -A 400/5.6 </t>
  </si>
  <si>
    <t>Biotar 75/1.5</t>
  </si>
  <si>
    <t>Zeiss</t>
  </si>
  <si>
    <t>Touit 32/1.8</t>
  </si>
  <si>
    <t>Touit 12/2.8</t>
  </si>
  <si>
    <t>Fujifilm XF autofocus</t>
  </si>
  <si>
    <t>Zeiss X autofocus</t>
  </si>
  <si>
    <t xml:space="preserve">Voigtlander LM/LTM manual focus </t>
  </si>
  <si>
    <t>Canon RF manual focus</t>
  </si>
  <si>
    <t>Nikon RF manual focus</t>
  </si>
  <si>
    <t>SP 70-200/2.8 Di [A001]</t>
  </si>
  <si>
    <t>SP 70-200/2.8 Di VC [A009]</t>
  </si>
  <si>
    <t>.13-04</t>
  </si>
  <si>
    <t>24/3.5 ED AS UMC T-S</t>
  </si>
  <si>
    <t>.13-05</t>
  </si>
  <si>
    <t xml:space="preserve">EX 50/2.8 DG macro </t>
  </si>
  <si>
    <t>EX 70/2.8 DG macro</t>
  </si>
  <si>
    <t>EX 85/1.4 DG</t>
  </si>
  <si>
    <t>EX 105/2.8 macro</t>
  </si>
  <si>
    <t>EX 105/2.8 macro OS</t>
  </si>
  <si>
    <t>EX 150/2.8 DG APO Macro</t>
  </si>
  <si>
    <t>EX 150/2.8 DG APO Macro OS</t>
  </si>
  <si>
    <t>EX 180/3.5 APO Macro</t>
  </si>
  <si>
    <t>EX 180/2.8 APO Macro OS</t>
  </si>
  <si>
    <t>EX 300/2.8 AF APO</t>
  </si>
  <si>
    <t>EX 500/4.5 DG APO AF</t>
  </si>
  <si>
    <t>EX 800/5.6 DG APO AF</t>
  </si>
  <si>
    <t>EX 14/2.8 ASP IF DG</t>
  </si>
  <si>
    <t>EX 24/1.8ASP DG DF rl</t>
  </si>
  <si>
    <t>EX 70-200/2.8 APO OS</t>
  </si>
  <si>
    <t xml:space="preserve">EX  70-200/2.8 APO </t>
  </si>
  <si>
    <t>EX 50-500/4-5.6 APO OS</t>
  </si>
  <si>
    <t>EX 28-70/2.8 ASP EX DG</t>
  </si>
  <si>
    <t>EX 24-70/2.8 ASP DF DG</t>
  </si>
  <si>
    <t>EX 12-24/4.5-5.6 ASP DG rl</t>
  </si>
  <si>
    <t>SP 300/2.8 MF LD IF full set</t>
  </si>
  <si>
    <t>SP 300/2.8 MF LD IF</t>
  </si>
  <si>
    <t>SP 300/2.8 AF LD IF</t>
  </si>
  <si>
    <t>AT-X 90/2.5 Macro</t>
  </si>
  <si>
    <t>AT-X 100/2.8 Macro</t>
  </si>
  <si>
    <t>AT-X 300/2.8 AF PRO</t>
  </si>
  <si>
    <t>AT-X 300/2.8 SD MF</t>
  </si>
  <si>
    <t>AT-X 300/4  AF Pro</t>
  </si>
  <si>
    <t>27-85</t>
  </si>
  <si>
    <t>52di</t>
  </si>
  <si>
    <t>Zuiko 21/3.5</t>
  </si>
  <si>
    <t xml:space="preserve">Zuiko 21/2 </t>
  </si>
  <si>
    <t>Zuiko 18/3.5 MC Auto-W</t>
  </si>
  <si>
    <t>28/2.8 MC</t>
  </si>
  <si>
    <t>camren</t>
  </si>
  <si>
    <t>Fujinon XF 56/1.2 R</t>
  </si>
  <si>
    <t>16-50</t>
  </si>
  <si>
    <t>24-75</t>
  </si>
  <si>
    <t>.13-06</t>
  </si>
  <si>
    <t>MC Rokkor-X 58/1.2</t>
  </si>
  <si>
    <t>ZE</t>
  </si>
  <si>
    <t>.13-07</t>
  </si>
  <si>
    <t>EBC Fujinon-SW 19/3.5</t>
  </si>
  <si>
    <t>EBC Fujinon-SW 24/2.8</t>
  </si>
  <si>
    <t>EBC Fujinon-W 35/1.9</t>
  </si>
  <si>
    <t>EBC Fujinon-W 35/2.8</t>
  </si>
  <si>
    <t>EBC Fujinon 50/1.4</t>
  </si>
  <si>
    <t>EBC Fujinon 85/4 soft</t>
  </si>
  <si>
    <t>EBC Fujinon 100/2.8</t>
  </si>
  <si>
    <t>EBC Fujinon-T 135/2.5</t>
  </si>
  <si>
    <t xml:space="preserve">EBC Fujinon Macro 55/3.5 </t>
  </si>
  <si>
    <t>Fuji Photo</t>
  </si>
  <si>
    <t>PC TS Makro-Symmar 90/4.5</t>
  </si>
  <si>
    <t>PC TS Super-Angulon 50/2.8</t>
  </si>
  <si>
    <t>3365</t>
  </si>
  <si>
    <t>EBC Fujinon-Fisheye 16/2.8</t>
  </si>
  <si>
    <t>.13-08</t>
  </si>
  <si>
    <t>.13-09</t>
  </si>
  <si>
    <t>EF 70-200/4 L IS USM</t>
  </si>
  <si>
    <t>WCL-X100 wide conversion</t>
  </si>
  <si>
    <t>M49</t>
  </si>
  <si>
    <t>.13-10</t>
  </si>
  <si>
    <t>SP 150-600/5-6.3 VC</t>
  </si>
  <si>
    <t>150-600</t>
  </si>
  <si>
    <t>240-960</t>
  </si>
  <si>
    <t>88*</t>
  </si>
  <si>
    <t>.13-11</t>
  </si>
  <si>
    <t>cf</t>
  </si>
  <si>
    <t>.13-12</t>
  </si>
  <si>
    <t>EX 100-300/4 APO IF</t>
  </si>
  <si>
    <t>SMC Pentax-FA 645 35/3.5</t>
  </si>
  <si>
    <t>P645</t>
  </si>
  <si>
    <t>SMC Pentax-A 645 35/3.5</t>
  </si>
  <si>
    <t>SMC Pentax-A 645 55/2.8</t>
  </si>
  <si>
    <t>SMC Pentax-A 645 120/4 Mac</t>
  </si>
  <si>
    <t>SMC Pentax-FA 645 120/4 Mac</t>
  </si>
  <si>
    <t>SMC Pentax-FA 645 55/2.8 AL</t>
  </si>
  <si>
    <t>Pentax Forums http://www.pentaxforums.com/lensreviews/ (645)</t>
  </si>
  <si>
    <t>SMC Pentax-A 645 75/2.8</t>
  </si>
  <si>
    <t>SMC Pentax-FA 645 75/2.8</t>
  </si>
  <si>
    <t>Schneider-Kreusnach manual focus</t>
  </si>
  <si>
    <t>Pentax P645 manual and autofocus</t>
  </si>
  <si>
    <t>EX 50/1.4 DG HSM Art</t>
  </si>
  <si>
    <t>EX 35/1.4 DG HSM Art</t>
  </si>
  <si>
    <t>EX 24-105/4 OS Art</t>
  </si>
  <si>
    <t>38-155</t>
  </si>
  <si>
    <t>Touit 50/2.8 Macro</t>
  </si>
  <si>
    <t>85-300</t>
  </si>
  <si>
    <t>.14-01</t>
  </si>
  <si>
    <t>18-135</t>
  </si>
  <si>
    <t>27-200</t>
  </si>
  <si>
    <t>Fujinon XF 18-135/2.8-4 OIS WR</t>
  </si>
  <si>
    <t>Fujinon XF 55-200/3.5-4.8 OIS</t>
  </si>
  <si>
    <t>4.5-6.7</t>
  </si>
  <si>
    <t>75-345</t>
  </si>
  <si>
    <t>.14-02</t>
  </si>
  <si>
    <t>484</t>
  </si>
  <si>
    <t>340</t>
  </si>
  <si>
    <t>325</t>
  </si>
  <si>
    <t>DG 150-500 OS APO  HSM</t>
  </si>
  <si>
    <t>RMC 17/3.5 SL</t>
  </si>
  <si>
    <t>Otus Apo Dist'gn T* 55/1.4 ZE</t>
  </si>
  <si>
    <t>Carl Zeiss ZE, C/Y,  N, and Jena; Voigtlander and Schneider PC T-S</t>
  </si>
  <si>
    <t>.14-03</t>
  </si>
  <si>
    <t xml:space="preserve">Elmarit-R 28/2.8  </t>
  </si>
  <si>
    <t>S7</t>
  </si>
  <si>
    <t>28-200</t>
  </si>
  <si>
    <t>45-320</t>
  </si>
  <si>
    <t>SP 28-200/3.8-5.6 XR AF</t>
  </si>
  <si>
    <t>.14-04</t>
  </si>
  <si>
    <t>.14-05</t>
  </si>
  <si>
    <t>Yashica</t>
  </si>
  <si>
    <t>Yashica Lens ML</t>
  </si>
  <si>
    <t>SMC Takumar 35/2</t>
  </si>
  <si>
    <t>Zuiko 24/3.5 Shift</t>
  </si>
  <si>
    <t>.14-06</t>
  </si>
  <si>
    <t>EF-S 10-18/4.5-5.6 IS STM</t>
  </si>
  <si>
    <t>10-18</t>
  </si>
  <si>
    <t>KAF</t>
  </si>
  <si>
    <t>X manual focus</t>
  </si>
  <si>
    <t>NCS 10/2.8 ED</t>
  </si>
  <si>
    <t xml:space="preserve">NCS 12/2 </t>
  </si>
  <si>
    <t>Fujinon XF 16/1.4 R</t>
  </si>
  <si>
    <t>Fujinon XF 90/2 R</t>
  </si>
  <si>
    <t>50-140</t>
  </si>
  <si>
    <t>75-210</t>
  </si>
  <si>
    <t>Fujinon XF 16-55/2.8 R WR</t>
  </si>
  <si>
    <t>Fujinon XF 50-140/2.8 OIS WR</t>
  </si>
  <si>
    <t>16-55</t>
  </si>
  <si>
    <t>.14-07</t>
  </si>
  <si>
    <t>50-230</t>
  </si>
  <si>
    <t>LA</t>
  </si>
  <si>
    <t>1.2k-1.7k</t>
  </si>
  <si>
    <t>5.6-8</t>
  </si>
  <si>
    <t>f(1.6x)</t>
  </si>
  <si>
    <t>f(1.5x)</t>
  </si>
  <si>
    <t>Auto Tominon/Auto Revuenon</t>
  </si>
  <si>
    <t>Fujinon XC 50-230/4.5-6.7 OIS</t>
  </si>
  <si>
    <t>Fujinon XC 16-50/3.5-5.6 OIS</t>
  </si>
  <si>
    <t>Tele-Tessar T* 300/4 MM</t>
  </si>
  <si>
    <t>1302</t>
  </si>
  <si>
    <t>320</t>
  </si>
  <si>
    <t>.14-08</t>
  </si>
  <si>
    <t>EF-S 18-55/3.5-5.6 IS STM</t>
  </si>
  <si>
    <t>29-88</t>
  </si>
  <si>
    <t>henry's</t>
  </si>
  <si>
    <t>Fujinon XF 56/1.2 R APD</t>
  </si>
  <si>
    <t xml:space="preserve">EF 400/4 DO IS II USM </t>
  </si>
  <si>
    <t>.14-09</t>
  </si>
  <si>
    <t>Zuiko 35-70/3.6 Auto-Zoom</t>
  </si>
  <si>
    <t>Meyer</t>
  </si>
  <si>
    <t>Primoplan 58/1.9 V</t>
  </si>
  <si>
    <t>.14-10</t>
  </si>
  <si>
    <t>EX 50-500/4-5.6 APO</t>
  </si>
  <si>
    <t>V.cyl</t>
  </si>
  <si>
    <t>cm3</t>
  </si>
  <si>
    <t>V.mod</t>
  </si>
  <si>
    <t xml:space="preserve">EF 16-35/4 L IS USM          </t>
  </si>
  <si>
    <t>EF-S 24/2.8 STM</t>
  </si>
  <si>
    <t>10/2.8 ED</t>
  </si>
  <si>
    <t>16/2 ED UMC</t>
  </si>
  <si>
    <t xml:space="preserve">EF 100-400/4.5-5.6 L IS II USM  </t>
  </si>
  <si>
    <t>TCL-X100 normal conversion</t>
  </si>
  <si>
    <t>SMC Pentax 28/3.5</t>
  </si>
  <si>
    <t>.07-10</t>
  </si>
  <si>
    <t>kev</t>
  </si>
  <si>
    <t>SMC Pentax 35/3.5</t>
  </si>
  <si>
    <t>SMC Pentax-M,-A 100/4 Macro</t>
  </si>
  <si>
    <t>SMC Pentax-M*, -A* 300/4</t>
  </si>
  <si>
    <t>EF-S 55-250/4-5.6 IS STM</t>
  </si>
  <si>
    <t>55-250</t>
  </si>
  <si>
    <t>88-400</t>
  </si>
  <si>
    <t>EF-S 18-135/3.5-5.6 IS STM</t>
  </si>
  <si>
    <t>29-216</t>
  </si>
  <si>
    <t>Efm</t>
  </si>
  <si>
    <t>EF-S Lenses (1.6x CF cameras)</t>
  </si>
  <si>
    <t>EF-S 60/2.8 Macro USM</t>
  </si>
  <si>
    <t>.14-11</t>
  </si>
  <si>
    <t>Distagon T* 15/2.8 ZE</t>
  </si>
  <si>
    <t>.14-12</t>
  </si>
  <si>
    <t>AT-X 150-500/5.6 SD</t>
  </si>
  <si>
    <t>50/1.4 AS UMC</t>
  </si>
  <si>
    <t>SMC Pentax-FA* 600/4</t>
  </si>
  <si>
    <t>150-43</t>
  </si>
  <si>
    <t>MD</t>
  </si>
  <si>
    <t>EFsx</t>
  </si>
  <si>
    <t>15-30</t>
  </si>
  <si>
    <t>SP 15-30/2.8 Di VC USD</t>
  </si>
  <si>
    <t xml:space="preserve">Canon </t>
  </si>
  <si>
    <t>EF 11-24/4 L USM</t>
  </si>
  <si>
    <t>11-24</t>
  </si>
  <si>
    <t>17-38</t>
  </si>
  <si>
    <t>.15-01</t>
  </si>
  <si>
    <t>Otus Apo Planar T* 85/1.4 ZE</t>
  </si>
  <si>
    <t>(Porst) Color Reflex</t>
  </si>
  <si>
    <t>.15-02</t>
  </si>
  <si>
    <t>Mamiya-Sekor C 500/8 Reflex</t>
  </si>
  <si>
    <t>1625</t>
  </si>
  <si>
    <t>.15-03</t>
  </si>
  <si>
    <t>Zuiko 250/2 Auto-T</t>
  </si>
  <si>
    <t>Zuiko 350/2.8 Auto-T</t>
  </si>
  <si>
    <t>Zuiko 180/2 Auto-T</t>
  </si>
  <si>
    <t>Apo-MacroElmarit-R 100/2.8</t>
  </si>
  <si>
    <t>Macro-Elmar-R 100/4</t>
  </si>
  <si>
    <t>EX 24/1.4 Art ASP DG DF rl</t>
  </si>
  <si>
    <t>180k</t>
  </si>
  <si>
    <t>.15-04</t>
  </si>
  <si>
    <r>
      <t xml:space="preserve">See </t>
    </r>
    <r>
      <rPr>
        <b/>
        <sz val="10"/>
        <rFont val="Arial"/>
        <family val="2"/>
      </rPr>
      <t>Lens$db.docx</t>
    </r>
    <r>
      <rPr>
        <sz val="10"/>
        <rFont val="Arial"/>
        <family val="2"/>
      </rPr>
      <t xml:space="preserve"> for who, when, where, why, and how; this database tells you what and how much.</t>
    </r>
  </si>
  <si>
    <t>Planar T* 55/1.2 100 Jahre</t>
  </si>
  <si>
    <t>Planar T* 85/1.2 100 Jahre</t>
  </si>
  <si>
    <t>Pentacon</t>
  </si>
  <si>
    <t>Multi Coating 50/1.8  electric</t>
  </si>
  <si>
    <t xml:space="preserve">85/1.8 </t>
  </si>
  <si>
    <t>85/1.5 (Serenar) sv</t>
  </si>
  <si>
    <t>100/2</t>
  </si>
  <si>
    <t>35/1.8</t>
  </si>
  <si>
    <t>50/1.5 (Serenar) sv</t>
  </si>
  <si>
    <t>19/3.5 sv</t>
  </si>
  <si>
    <t>SMC Pentax-FA 50/2.8 Macro</t>
  </si>
  <si>
    <t>S-Planar T* 60/2.8 [1:1]</t>
  </si>
  <si>
    <t>EF 85/1.8 USM</t>
  </si>
  <si>
    <t>.15-06</t>
  </si>
  <si>
    <t>.15-05</t>
  </si>
  <si>
    <t>EX 120-300/2.8 OS S HSM</t>
  </si>
  <si>
    <t>135/2  ED UMC</t>
  </si>
  <si>
    <t>100/2.8 ED UMC Macro</t>
  </si>
  <si>
    <t>135/3.5 bk</t>
  </si>
  <si>
    <t>50/1.4 II</t>
  </si>
  <si>
    <t>50/1.8 (Serenar) sv</t>
  </si>
  <si>
    <t>Komura</t>
  </si>
  <si>
    <t>100/1.8</t>
  </si>
  <si>
    <t>105/2.5</t>
  </si>
  <si>
    <t>105/2</t>
  </si>
  <si>
    <t>85/1.4</t>
  </si>
  <si>
    <t>135/2</t>
  </si>
  <si>
    <t>.15-07</t>
  </si>
  <si>
    <t>Mamiya A 300/2.8 APO</t>
  </si>
  <si>
    <t xml:space="preserve">EF 50/1.8 STM   </t>
  </si>
  <si>
    <t>.15-08</t>
  </si>
  <si>
    <t>Carl Zeiss Milvus manual focus for Canon EOS</t>
  </si>
  <si>
    <t>Carl Zeiss Otus manual focus for Canon EOS</t>
  </si>
  <si>
    <t>Milvus T* 35/2 ZE</t>
  </si>
  <si>
    <t>Milvus  T* 21/2.8 ZE</t>
  </si>
  <si>
    <t>Milvus  T* 50/1.4 ZE</t>
  </si>
  <si>
    <t>Milvus  50/2 M ZE [1:2]</t>
  </si>
  <si>
    <t>Milvus 85/1.4 ZE</t>
  </si>
  <si>
    <t>Milvus 100/2 M ZE [1:2]</t>
  </si>
  <si>
    <t>Elmarit-R 28/2.8  E55 ROM</t>
  </si>
  <si>
    <t>fm</t>
  </si>
  <si>
    <t>Auto Yashinon/Cosinon</t>
  </si>
  <si>
    <t>DG 150-600 OS C</t>
  </si>
  <si>
    <t>DG 150-600 OS S</t>
  </si>
  <si>
    <t>.15-09</t>
  </si>
  <si>
    <t xml:space="preserve">EF 35/1.4 L II USM      </t>
  </si>
  <si>
    <t>Otus 28/1.4 ZE</t>
  </si>
  <si>
    <t>SMC Pentax-A 100/2.8 Macro</t>
  </si>
  <si>
    <t>SMC Pentax "1:3.5/15mm" (AL)</t>
  </si>
  <si>
    <t>SMC Pentax "1:3.5 15mm" (not)</t>
  </si>
  <si>
    <t>.15-10</t>
  </si>
  <si>
    <t>24-35</t>
  </si>
  <si>
    <t>38-56</t>
  </si>
  <si>
    <t>24-35/2 DG HSM Art</t>
  </si>
  <si>
    <t>henrys</t>
  </si>
  <si>
    <t>300</t>
  </si>
  <si>
    <t>SP 45/1.8 Di VC</t>
  </si>
  <si>
    <t>SP 90/2.8 AF Di VC Macro 1:1</t>
  </si>
  <si>
    <t>SMC Pentax-M 28/2</t>
  </si>
  <si>
    <t>Fujinon XF 35/2 R</t>
  </si>
  <si>
    <t>EF-S 24-105/3.5-5.6 IS STM</t>
  </si>
  <si>
    <t>`</t>
  </si>
  <si>
    <t>.15-11</t>
  </si>
  <si>
    <t>.2015-12-28</t>
  </si>
  <si>
    <t>.15-12</t>
  </si>
  <si>
    <t>Jena etc. AllPhotoLenses, http://allphotolenses.com/lenses/item/c_921.html</t>
  </si>
  <si>
    <t>Sonnar MC 300/4 (P6)</t>
  </si>
  <si>
    <t>Biometar</t>
  </si>
  <si>
    <t>Nikkor 1200-1700/5.6-8*ED MF</t>
  </si>
  <si>
    <t>SMC Takumar "1:3.5/15" (AL)</t>
  </si>
  <si>
    <t>SMC Takumar 15mm f/3.5</t>
  </si>
  <si>
    <t>Makro-Planar 1:2.8 f=60mm [1:1]</t>
  </si>
  <si>
    <t>S-Planar 1:2.8 f=60mm [1:1]</t>
  </si>
  <si>
    <t>Makro-Planar 2.8/60 C [1:2]</t>
  </si>
  <si>
    <t>180x</t>
  </si>
  <si>
    <t>400</t>
  </si>
  <si>
    <t>SP 35/1.8 Di VC</t>
  </si>
  <si>
    <t>AT-X 100-300/4 AF</t>
  </si>
  <si>
    <t>Super-Elmarit-R 15/2.8 Asp ROM</t>
  </si>
  <si>
    <t>l-shop</t>
  </si>
  <si>
    <t>L-shop</t>
  </si>
  <si>
    <t>Super-Elmar-R 15/3,5 [x] (Zeiss)</t>
  </si>
  <si>
    <t>v.30</t>
  </si>
  <si>
    <t>.2016-02-01</t>
  </si>
  <si>
    <t xml:space="preserve">The Lens Price database, Lens$db, is copyright © J.L. Colwell 2005-2016.  You may copy and freely distribute the database to others, but you may not charge or accept any fees, and you may not modify the database.  You may incorporate any information from Lens$db in other publications (online or otherwise), as long as you acknowledge the source.  I attempt to acknowledge all sources I have used (except for eBay sales), and I apologize to any sources I may have missed.  I am grateful to the many people who share photography information online.   I hope this is a useful contribution.  I try to be accurate but I'm sure there are errors and omissions - use this database at your own risk.      </t>
  </si>
  <si>
    <t>convert $ CA to $ US [excel variable CA.US]</t>
  </si>
  <si>
    <t>equivalent focal length (mm) on a x1.6 crop factor body, e.g, Canon SL1, T5i, 70D, 7D II, etc.</t>
  </si>
  <si>
    <t>Leica R: CameraQuest http://www.cameraquest.com, Erwin Puts</t>
  </si>
  <si>
    <t>(c) 2016 James Colwell</t>
  </si>
  <si>
    <t>.16-01</t>
  </si>
  <si>
    <t>Copyright © J.L. Colwell 2005-2016, www.jcolwell.ca</t>
  </si>
  <si>
    <t>(c) 2016 James Colwell, www.jcolwell.ca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</si>
</sst>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
    <numFmt numFmtId="165" formatCode="0.0"/>
  </numFmts>
  <fonts count="11">
    <font>
      <sz val="10"/>
      <name val="Arial"/>
    </font>
    <font>
      <b/>
      <sz val="10"/>
      <name val="Arial"/>
      <family val="2"/>
    </font>
    <font>
      <sz val="10"/>
      <name val="Arial"/>
      <family val="2"/>
    </font>
    <font>
      <sz val="10"/>
      <color indexed="8"/>
      <name val="Arial"/>
      <family val="2"/>
    </font>
    <font>
      <b/>
      <sz val="8"/>
      <name val="Arial"/>
      <family val="2"/>
    </font>
    <font>
      <sz val="8"/>
      <name val="Arial"/>
      <family val="2"/>
    </font>
    <font>
      <sz val="9"/>
      <name val="Arial"/>
      <family val="2"/>
    </font>
    <font>
      <sz val="8"/>
      <color indexed="8"/>
      <name val="Arial"/>
      <family val="2"/>
    </font>
    <font>
      <sz val="7"/>
      <name val="Arial"/>
      <family val="2"/>
    </font>
    <font>
      <i/>
      <sz val="8"/>
      <name val="Arial"/>
      <family val="2"/>
    </font>
    <font>
      <b/>
      <i/>
      <sz val="8"/>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86">
    <xf numFmtId="0" fontId="0" fillId="0" borderId="0" xfId="0"/>
    <xf numFmtId="0" fontId="7" fillId="0" borderId="0" xfId="0" applyFont="1" applyFill="1" applyBorder="1" applyAlignment="1">
      <alignment wrapText="1"/>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xf numFmtId="1" fontId="4" fillId="0" borderId="0" xfId="0" applyNumberFormat="1" applyFont="1" applyFill="1" applyBorder="1" applyAlignment="1"/>
    <xf numFmtId="1" fontId="4" fillId="0" borderId="0" xfId="0" applyNumberFormat="1" applyFont="1" applyFill="1" applyBorder="1" applyAlignment="1">
      <alignment horizontal="left"/>
    </xf>
    <xf numFmtId="165" fontId="4" fillId="0" borderId="0" xfId="0" applyNumberFormat="1" applyFont="1" applyFill="1" applyBorder="1" applyAlignment="1">
      <alignment horizontal="left"/>
    </xf>
    <xf numFmtId="2" fontId="4" fillId="0" borderId="0" xfId="0" applyNumberFormat="1" applyFont="1" applyFill="1" applyBorder="1" applyAlignment="1"/>
    <xf numFmtId="165" fontId="4" fillId="0" borderId="0" xfId="0" applyNumberFormat="1" applyFont="1" applyFill="1" applyBorder="1" applyAlignment="1"/>
    <xf numFmtId="1" fontId="5" fillId="0" borderId="0" xfId="0" applyNumberFormat="1" applyFont="1" applyFill="1" applyAlignment="1">
      <alignment horizontal="center"/>
    </xf>
    <xf numFmtId="0" fontId="5" fillId="0" borderId="0" xfId="0" applyFont="1" applyFill="1" applyAlignment="1">
      <alignment horizontal="center"/>
    </xf>
    <xf numFmtId="1" fontId="5"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xf numFmtId="49" fontId="5" fillId="0" borderId="0" xfId="0" applyNumberFormat="1" applyFont="1" applyFill="1" applyBorder="1" applyAlignment="1">
      <alignment horizontal="center"/>
    </xf>
    <xf numFmtId="0" fontId="5" fillId="0" borderId="0" xfId="0" applyFont="1" applyFill="1" applyBorder="1" applyAlignment="1"/>
    <xf numFmtId="0" fontId="6" fillId="0" borderId="0" xfId="0" applyFont="1" applyFill="1" applyAlignment="1"/>
    <xf numFmtId="1" fontId="6"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165" fontId="6" fillId="0" borderId="0" xfId="0" applyNumberFormat="1" applyFont="1" applyFill="1" applyAlignment="1">
      <alignment horizontal="center"/>
    </xf>
    <xf numFmtId="1" fontId="6" fillId="0" borderId="0" xfId="0" applyNumberFormat="1" applyFont="1" applyFill="1" applyAlignment="1"/>
    <xf numFmtId="165" fontId="5" fillId="0" borderId="0" xfId="0" applyNumberFormat="1" applyFont="1" applyFill="1" applyAlignment="1">
      <alignment horizontal="center"/>
    </xf>
    <xf numFmtId="2" fontId="5" fillId="0" borderId="0" xfId="0" applyNumberFormat="1" applyFont="1" applyFill="1" applyAlignment="1">
      <alignment horizontal="center"/>
    </xf>
    <xf numFmtId="1" fontId="5" fillId="0" borderId="1" xfId="0" applyNumberFormat="1" applyFont="1" applyFill="1" applyBorder="1" applyAlignment="1">
      <alignment horizontal="center"/>
    </xf>
    <xf numFmtId="1" fontId="4" fillId="0" borderId="1" xfId="0" applyNumberFormat="1" applyFont="1" applyFill="1" applyBorder="1" applyAlignment="1"/>
    <xf numFmtId="165" fontId="4" fillId="0" borderId="1" xfId="0" applyNumberFormat="1" applyFont="1" applyFill="1" applyBorder="1" applyAlignment="1"/>
    <xf numFmtId="164"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1" fontId="4" fillId="0" borderId="4" xfId="0" applyNumberFormat="1" applyFont="1" applyFill="1" applyBorder="1" applyAlignment="1"/>
    <xf numFmtId="1" fontId="5" fillId="0" borderId="5" xfId="0" applyNumberFormat="1" applyFont="1" applyFill="1" applyBorder="1" applyAlignment="1">
      <alignment horizontal="center"/>
    </xf>
    <xf numFmtId="1" fontId="5" fillId="0" borderId="5" xfId="0" applyNumberFormat="1" applyFont="1" applyFill="1" applyBorder="1" applyAlignment="1">
      <alignment horizontal="left"/>
    </xf>
    <xf numFmtId="1" fontId="5" fillId="0" borderId="6" xfId="0" applyNumberFormat="1" applyFont="1" applyFill="1" applyBorder="1" applyAlignment="1">
      <alignment horizontal="left"/>
    </xf>
    <xf numFmtId="1" fontId="5" fillId="0" borderId="0" xfId="0" applyNumberFormat="1" applyFont="1" applyFill="1" applyBorder="1" applyAlignment="1"/>
    <xf numFmtId="165" fontId="5" fillId="0" borderId="0" xfId="0" applyNumberFormat="1" applyFont="1" applyFill="1" applyBorder="1" applyAlignment="1">
      <alignment horizontal="center"/>
    </xf>
    <xf numFmtId="165" fontId="5"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1" fontId="5" fillId="0" borderId="3" xfId="0" applyNumberFormat="1" applyFont="1" applyFill="1" applyBorder="1" applyAlignment="1">
      <alignment horizontal="left"/>
    </xf>
    <xf numFmtId="1" fontId="5" fillId="0" borderId="9" xfId="0" applyNumberFormat="1" applyFont="1" applyFill="1" applyBorder="1" applyAlignment="1">
      <alignment horizontal="center"/>
    </xf>
    <xf numFmtId="1" fontId="5" fillId="0" borderId="1" xfId="0" applyNumberFormat="1" applyFont="1" applyFill="1" applyBorder="1" applyAlignment="1">
      <alignment horizontal="left"/>
    </xf>
    <xf numFmtId="1" fontId="5" fillId="0" borderId="11" xfId="0" applyNumberFormat="1" applyFont="1" applyFill="1" applyBorder="1" applyAlignment="1"/>
    <xf numFmtId="1" fontId="5" fillId="0" borderId="4" xfId="0" applyNumberFormat="1" applyFont="1" applyFill="1" applyBorder="1" applyAlignment="1">
      <alignment horizontal="center"/>
    </xf>
    <xf numFmtId="1" fontId="5" fillId="0" borderId="4" xfId="0" applyNumberFormat="1" applyFont="1" applyFill="1" applyBorder="1" applyAlignment="1"/>
    <xf numFmtId="0" fontId="5" fillId="0" borderId="1" xfId="0" applyFont="1" applyFill="1" applyBorder="1" applyAlignment="1"/>
    <xf numFmtId="1" fontId="5" fillId="0" borderId="1" xfId="0" applyNumberFormat="1" applyFont="1" applyFill="1" applyBorder="1" applyAlignment="1"/>
    <xf numFmtId="165" fontId="5"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0" xfId="0" applyNumberFormat="1" applyFont="1" applyFill="1" applyAlignment="1"/>
    <xf numFmtId="0" fontId="5" fillId="0" borderId="0" xfId="0" applyFont="1" applyFill="1" applyAlignment="1">
      <alignment horizontal="left"/>
    </xf>
    <xf numFmtId="49" fontId="5" fillId="0" borderId="0" xfId="0" applyNumberFormat="1" applyFont="1" applyFill="1" applyAlignment="1">
      <alignment horizontal="center"/>
    </xf>
    <xf numFmtId="2" fontId="5" fillId="0" borderId="13" xfId="0" applyNumberFormat="1" applyFont="1" applyFill="1" applyBorder="1" applyAlignment="1">
      <alignment horizontal="center"/>
    </xf>
    <xf numFmtId="1" fontId="5" fillId="0" borderId="2" xfId="0" applyNumberFormat="1" applyFont="1" applyFill="1" applyBorder="1" applyAlignment="1">
      <alignment horizontal="center"/>
    </xf>
    <xf numFmtId="0" fontId="5" fillId="0" borderId="8" xfId="0" applyFont="1" applyFill="1" applyBorder="1" applyAlignment="1">
      <alignment horizontal="center"/>
    </xf>
    <xf numFmtId="0" fontId="5" fillId="0" borderId="1" xfId="0" applyFont="1" applyFill="1" applyBorder="1" applyAlignment="1">
      <alignment horizontal="left"/>
    </xf>
    <xf numFmtId="49" fontId="5" fillId="0" borderId="1" xfId="0" applyNumberFormat="1" applyFont="1" applyFill="1" applyBorder="1" applyAlignment="1">
      <alignment horizontal="center"/>
    </xf>
    <xf numFmtId="2" fontId="5" fillId="0" borderId="12" xfId="0" applyNumberFormat="1" applyFont="1" applyFill="1" applyBorder="1" applyAlignment="1">
      <alignment horizontal="center"/>
    </xf>
    <xf numFmtId="0" fontId="5" fillId="0" borderId="9" xfId="0" applyFont="1" applyFill="1" applyBorder="1" applyAlignment="1">
      <alignment horizontal="center"/>
    </xf>
    <xf numFmtId="0" fontId="5" fillId="0" borderId="1"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left"/>
    </xf>
    <xf numFmtId="0" fontId="5" fillId="0" borderId="13" xfId="0" applyFont="1" applyFill="1" applyBorder="1" applyAlignment="1">
      <alignment horizontal="center"/>
    </xf>
    <xf numFmtId="165"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0" fontId="6" fillId="0" borderId="0" xfId="0" applyFont="1" applyFill="1" applyBorder="1" applyAlignment="1">
      <alignment horizontal="center"/>
    </xf>
    <xf numFmtId="1" fontId="5" fillId="0" borderId="10"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pplyProtection="1">
      <alignment horizontal="left"/>
      <protection locked="0"/>
    </xf>
    <xf numFmtId="1" fontId="5"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165" fontId="5" fillId="0" borderId="2"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 fontId="5" fillId="0" borderId="8"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5" fillId="0" borderId="1" xfId="0" applyFont="1" applyFill="1" applyBorder="1" applyAlignment="1" applyProtection="1">
      <alignment horizontal="left"/>
      <protection locked="0"/>
    </xf>
    <xf numFmtId="1" fontId="5" fillId="0" borderId="1"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center"/>
      <protection locked="0"/>
    </xf>
    <xf numFmtId="165" fontId="5" fillId="0" borderId="3" xfId="0" applyNumberFormat="1" applyFont="1" applyFill="1" applyBorder="1" applyAlignment="1" applyProtection="1">
      <alignment horizontal="center"/>
      <protection locked="0"/>
    </xf>
    <xf numFmtId="2" fontId="5" fillId="0" borderId="1" xfId="0" applyNumberFormat="1" applyFont="1" applyFill="1" applyBorder="1" applyAlignment="1" applyProtection="1">
      <alignment horizontal="center"/>
      <protection locked="0"/>
    </xf>
    <xf numFmtId="1" fontId="5" fillId="0" borderId="9" xfId="0" applyNumberFormat="1" applyFont="1" applyFill="1" applyBorder="1" applyAlignment="1" applyProtection="1">
      <alignment horizontal="center"/>
      <protection locked="0"/>
    </xf>
    <xf numFmtId="1" fontId="5" fillId="0" borderId="3" xfId="0" applyNumberFormat="1" applyFont="1" applyFill="1" applyBorder="1" applyAlignment="1" applyProtection="1">
      <alignment horizontal="center"/>
      <protection locked="0"/>
    </xf>
    <xf numFmtId="1" fontId="10" fillId="0"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2" fontId="5" fillId="0" borderId="13" xfId="0" applyNumberFormat="1" applyFont="1" applyFill="1" applyBorder="1" applyAlignment="1" applyProtection="1">
      <alignment horizontal="center"/>
      <protection locked="0"/>
    </xf>
    <xf numFmtId="1" fontId="5" fillId="0" borderId="0" xfId="0" applyNumberFormat="1" applyFont="1" applyFill="1" applyAlignment="1" applyProtection="1">
      <alignment horizontal="center"/>
      <protection locked="0"/>
    </xf>
    <xf numFmtId="1" fontId="4" fillId="0" borderId="2" xfId="0" applyNumberFormat="1" applyFont="1" applyFill="1" applyBorder="1" applyAlignment="1" applyProtection="1">
      <alignment horizontal="center"/>
      <protection locked="0"/>
    </xf>
    <xf numFmtId="0" fontId="4" fillId="0" borderId="5" xfId="0" applyFont="1" applyFill="1" applyBorder="1" applyAlignment="1"/>
    <xf numFmtId="0" fontId="5" fillId="0" borderId="5" xfId="0" applyFont="1" applyFill="1" applyBorder="1" applyAlignment="1"/>
    <xf numFmtId="0" fontId="5" fillId="0" borderId="5" xfId="0" applyFont="1" applyFill="1" applyBorder="1" applyAlignment="1">
      <alignment horizontal="center"/>
    </xf>
    <xf numFmtId="49"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2" fontId="5" fillId="0" borderId="5" xfId="0" applyNumberFormat="1" applyFont="1" applyFill="1" applyBorder="1" applyAlignment="1">
      <alignment horizontal="center"/>
    </xf>
    <xf numFmtId="49" fontId="5" fillId="0" borderId="2"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4" fillId="0" borderId="2" xfId="0" applyNumberFormat="1" applyFont="1" applyFill="1" applyBorder="1" applyAlignment="1" applyProtection="1">
      <alignment horizontal="center"/>
      <protection locked="0"/>
    </xf>
    <xf numFmtId="165" fontId="5" fillId="0" borderId="1"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protection locked="0"/>
    </xf>
    <xf numFmtId="1" fontId="5" fillId="0" borderId="14" xfId="0" applyNumberFormat="1" applyFont="1" applyFill="1" applyBorder="1" applyAlignment="1" applyProtection="1">
      <alignment horizontal="center"/>
      <protection locked="0"/>
    </xf>
    <xf numFmtId="1" fontId="5" fillId="0" borderId="7"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lignment horizontal="left"/>
    </xf>
    <xf numFmtId="2" fontId="5" fillId="0" borderId="8" xfId="0" applyNumberFormat="1" applyFont="1" applyFill="1" applyBorder="1" applyAlignment="1" applyProtection="1">
      <alignment horizontal="center"/>
      <protection locked="0"/>
    </xf>
    <xf numFmtId="49" fontId="5" fillId="0" borderId="14" xfId="0" applyNumberFormat="1" applyFont="1" applyFill="1" applyBorder="1" applyAlignment="1">
      <alignment horizontal="center"/>
    </xf>
    <xf numFmtId="0" fontId="2" fillId="0" borderId="0" xfId="0" applyFont="1" applyFill="1" applyAlignment="1"/>
    <xf numFmtId="0" fontId="2" fillId="0" borderId="0" xfId="0" applyFont="1" applyFill="1" applyBorder="1" applyAlignment="1">
      <alignment horizontal="left"/>
    </xf>
    <xf numFmtId="0" fontId="2" fillId="0" borderId="0" xfId="0" applyFont="1" applyFill="1" applyBorder="1" applyAlignment="1"/>
    <xf numFmtId="2" fontId="2" fillId="0" borderId="1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xf numFmtId="49" fontId="0" fillId="0" borderId="0" xfId="0" applyNumberFormat="1" applyFill="1"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alignment horizontal="center"/>
    </xf>
    <xf numFmtId="0" fontId="1" fillId="0" borderId="0" xfId="0" applyFont="1" applyFill="1" applyAlignment="1"/>
    <xf numFmtId="0" fontId="4" fillId="0" borderId="0" xfId="0" applyFont="1" applyFill="1" applyBorder="1" applyAlignment="1">
      <alignment horizontal="left"/>
    </xf>
    <xf numFmtId="0" fontId="2"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left" vertical="top" wrapText="1"/>
    </xf>
    <xf numFmtId="0" fontId="1" fillId="0" borderId="0" xfId="0" applyFont="1" applyFill="1" applyAlignment="1">
      <alignment horizontal="left"/>
    </xf>
    <xf numFmtId="0" fontId="1" fillId="0" borderId="0" xfId="0" applyFont="1" applyFill="1" applyBorder="1" applyAlignment="1">
      <alignment horizontal="left"/>
    </xf>
    <xf numFmtId="1"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2" fontId="1" fillId="0" borderId="0" xfId="0" applyNumberFormat="1" applyFont="1" applyFill="1" applyBorder="1" applyAlignment="1">
      <alignment horizontal="left"/>
    </xf>
    <xf numFmtId="0" fontId="4" fillId="0" borderId="1" xfId="0" applyFont="1" applyFill="1" applyBorder="1" applyAlignment="1"/>
    <xf numFmtId="164" fontId="5" fillId="0" borderId="1" xfId="0" applyNumberFormat="1" applyFont="1" applyFill="1" applyBorder="1" applyAlignment="1">
      <alignment horizontal="left"/>
    </xf>
    <xf numFmtId="0" fontId="4" fillId="0" borderId="4" xfId="0" applyFont="1" applyFill="1" applyBorder="1" applyAlignment="1"/>
    <xf numFmtId="0" fontId="4" fillId="0" borderId="10" xfId="0" applyFont="1" applyFill="1" applyBorder="1" applyAlignment="1"/>
    <xf numFmtId="1" fontId="5" fillId="0" borderId="14" xfId="0" applyNumberFormat="1" applyFont="1" applyFill="1" applyBorder="1" applyAlignment="1">
      <alignment horizontal="center"/>
    </xf>
    <xf numFmtId="0" fontId="5" fillId="0" borderId="10" xfId="0" applyFont="1" applyFill="1" applyBorder="1" applyAlignment="1">
      <alignment horizontal="center"/>
    </xf>
    <xf numFmtId="2" fontId="5" fillId="0" borderId="14" xfId="0" applyNumberFormat="1" applyFont="1" applyFill="1" applyBorder="1" applyAlignment="1">
      <alignment horizontal="center"/>
    </xf>
    <xf numFmtId="0" fontId="5" fillId="0" borderId="4" xfId="0" applyFont="1" applyFill="1" applyBorder="1" applyAlignment="1"/>
    <xf numFmtId="0" fontId="5" fillId="0" borderId="14" xfId="0" applyFont="1" applyFill="1" applyBorder="1" applyAlignment="1"/>
    <xf numFmtId="0" fontId="5" fillId="0" borderId="12" xfId="0" applyNumberFormat="1" applyFont="1" applyFill="1" applyBorder="1" applyAlignment="1">
      <alignment horizontal="center"/>
    </xf>
    <xf numFmtId="2" fontId="5" fillId="0" borderId="2" xfId="0" applyNumberFormat="1" applyFont="1" applyFill="1" applyBorder="1" applyAlignment="1">
      <alignment horizontal="center"/>
    </xf>
    <xf numFmtId="1" fontId="4" fillId="0" borderId="2"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3" xfId="0" applyNumberFormat="1" applyFont="1" applyFill="1" applyBorder="1" applyAlignment="1">
      <alignment horizontal="center"/>
    </xf>
    <xf numFmtId="16" fontId="5" fillId="0" borderId="1" xfId="0" applyNumberFormat="1" applyFont="1" applyFill="1" applyBorder="1" applyAlignment="1">
      <alignment horizontal="left"/>
    </xf>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1" fontId="5" fillId="0" borderId="14" xfId="0" applyNumberFormat="1" applyFont="1" applyFill="1" applyBorder="1" applyAlignment="1">
      <alignment horizontal="left"/>
    </xf>
    <xf numFmtId="0" fontId="5" fillId="0" borderId="15" xfId="0" applyFont="1" applyFill="1" applyBorder="1" applyAlignment="1">
      <alignment horizontal="center"/>
    </xf>
    <xf numFmtId="49" fontId="5" fillId="0" borderId="9" xfId="0" applyNumberFormat="1" applyFont="1" applyFill="1" applyBorder="1" applyAlignment="1">
      <alignment horizontal="center"/>
    </xf>
    <xf numFmtId="0" fontId="7" fillId="0" borderId="0" xfId="0" applyFont="1" applyFill="1" applyBorder="1" applyAlignment="1">
      <alignment horizontal="left"/>
    </xf>
    <xf numFmtId="16" fontId="5" fillId="0" borderId="0" xfId="0" applyNumberFormat="1" applyFont="1" applyFill="1" applyBorder="1" applyAlignment="1">
      <alignment horizontal="left"/>
    </xf>
    <xf numFmtId="0" fontId="5" fillId="0" borderId="0" xfId="0" applyFont="1" applyFill="1" applyBorder="1"/>
    <xf numFmtId="49" fontId="5" fillId="0" borderId="7" xfId="0" applyNumberFormat="1" applyFont="1" applyFill="1" applyBorder="1" applyAlignment="1">
      <alignment horizontal="center"/>
    </xf>
    <xf numFmtId="49" fontId="5" fillId="0"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Font="1" applyFill="1" applyBorder="1" applyAlignment="1">
      <alignment horizontal="center"/>
    </xf>
    <xf numFmtId="1" fontId="8" fillId="0" borderId="0" xfId="0" applyNumberFormat="1" applyFont="1" applyFill="1" applyBorder="1" applyAlignment="1">
      <alignment horizontal="center"/>
    </xf>
    <xf numFmtId="1" fontId="8" fillId="0" borderId="1"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10" xfId="0" applyNumberFormat="1" applyFont="1" applyFill="1" applyBorder="1" applyAlignment="1"/>
    <xf numFmtId="49" fontId="5" fillId="0" borderId="13"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xf numFmtId="165" fontId="9" fillId="0" borderId="2" xfId="0" applyNumberFormat="1" applyFont="1" applyFill="1" applyBorder="1" applyAlignment="1">
      <alignment horizontal="center"/>
    </xf>
    <xf numFmtId="16" fontId="5" fillId="0" borderId="8" xfId="0" applyNumberFormat="1" applyFont="1" applyFill="1" applyBorder="1" applyAlignment="1">
      <alignment horizontal="center"/>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1" fontId="4" fillId="0" borderId="3" xfId="0" applyNumberFormat="1" applyFont="1" applyFill="1" applyBorder="1" applyAlignment="1" applyProtection="1">
      <alignment horizontal="center"/>
      <protection locked="0"/>
    </xf>
    <xf numFmtId="165" fontId="8" fillId="0" borderId="2" xfId="0" applyNumberFormat="1" applyFont="1" applyFill="1" applyBorder="1" applyAlignment="1" applyProtection="1">
      <alignment horizontal="center"/>
      <protection locked="0"/>
    </xf>
    <xf numFmtId="0" fontId="4" fillId="0" borderId="1" xfId="0" applyFont="1" applyFill="1" applyBorder="1" applyAlignment="1">
      <alignment horizontal="center"/>
    </xf>
    <xf numFmtId="49" fontId="5" fillId="0" borderId="0" xfId="0" applyNumberFormat="1" applyFont="1" applyFill="1" applyBorder="1" applyAlignment="1"/>
    <xf numFmtId="1" fontId="5" fillId="0" borderId="5" xfId="0" applyNumberFormat="1" applyFont="1" applyFill="1" applyBorder="1" applyAlignment="1"/>
    <xf numFmtId="49" fontId="5" fillId="0" borderId="1" xfId="0" applyNumberFormat="1" applyFont="1" applyFill="1" applyBorder="1" applyAlignment="1"/>
    <xf numFmtId="0" fontId="5" fillId="0" borderId="5" xfId="0" applyFont="1" applyFill="1" applyBorder="1" applyAlignment="1">
      <alignment horizontal="left"/>
    </xf>
    <xf numFmtId="164" fontId="5" fillId="0" borderId="9"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cellXfs>
  <cellStyles count="2">
    <cellStyle name="Normal" xfId="0" builtinId="0"/>
    <cellStyle name="Normal 2" xfId="1"/>
  </cellStyles>
  <dxfs count="332">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2" defaultPivotStyle="PivotStyleLight16"/>
  <colors>
    <mruColors>
      <color rgb="FFDDF7DD"/>
      <color rgb="FFDAF0FE"/>
      <color rgb="FFC2E7FE"/>
      <color rgb="FFFFF8E1"/>
      <color rgb="FFFFF0C1"/>
      <color rgb="FF33CC33"/>
      <color rgb="FFF76F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9"/>
  <sheetViews>
    <sheetView tabSelected="1" view="pageLayout" zoomScaleNormal="100" workbookViewId="0"/>
  </sheetViews>
  <sheetFormatPr defaultRowHeight="12" customHeight="1"/>
  <cols>
    <col min="1" max="1" width="11.28515625" style="117" customWidth="1"/>
    <col min="2" max="2" width="80" style="116" customWidth="1"/>
    <col min="3" max="5" width="5.5703125" style="128" customWidth="1"/>
    <col min="6" max="6" width="10" style="116" customWidth="1"/>
    <col min="7" max="7" width="4" style="116" customWidth="1"/>
    <col min="8" max="16384" width="9.140625" style="116"/>
  </cols>
  <sheetData>
    <row r="1" spans="1:6" ht="12.6" customHeight="1">
      <c r="A1" s="126" t="s">
        <v>179</v>
      </c>
      <c r="B1" s="126"/>
    </row>
    <row r="2" spans="1:6" ht="12.6" customHeight="1">
      <c r="A2" s="126" t="s">
        <v>1073</v>
      </c>
      <c r="B2" s="126"/>
    </row>
    <row r="3" spans="1:6" ht="12.6" customHeight="1">
      <c r="A3" s="126" t="s">
        <v>1065</v>
      </c>
      <c r="B3" s="126" t="s">
        <v>1066</v>
      </c>
      <c r="C3" s="129"/>
      <c r="D3" s="129"/>
      <c r="E3" s="129"/>
    </row>
    <row r="4" spans="1:6" ht="12.6" customHeight="1">
      <c r="A4" s="126"/>
      <c r="B4" s="126"/>
      <c r="C4" s="129"/>
      <c r="D4" s="129"/>
      <c r="E4" s="129"/>
    </row>
    <row r="5" spans="1:6" ht="96.75" customHeight="1">
      <c r="A5" s="130" t="s">
        <v>1067</v>
      </c>
      <c r="B5" s="130"/>
      <c r="C5" s="129"/>
      <c r="D5" s="129"/>
      <c r="E5" s="129"/>
    </row>
    <row r="6" spans="1:6" ht="12.6" customHeight="1">
      <c r="A6" s="116" t="s">
        <v>982</v>
      </c>
    </row>
    <row r="7" spans="1:6" ht="12.6" customHeight="1">
      <c r="A7" s="126"/>
    </row>
    <row r="8" spans="1:6" ht="12.6" customHeight="1">
      <c r="A8" s="126" t="s">
        <v>0</v>
      </c>
      <c r="B8" s="126"/>
      <c r="C8" s="129"/>
      <c r="D8" s="129"/>
      <c r="E8" s="129"/>
      <c r="F8" s="126"/>
    </row>
    <row r="9" spans="1:6" ht="12.6" customHeight="1">
      <c r="A9" s="126"/>
      <c r="B9" s="126"/>
      <c r="C9" s="129"/>
      <c r="D9" s="129"/>
      <c r="E9" s="129"/>
      <c r="F9" s="126"/>
    </row>
    <row r="10" spans="1:6" ht="12.6" customHeight="1">
      <c r="A10" s="131" t="s">
        <v>1</v>
      </c>
      <c r="B10" s="116" t="s">
        <v>2</v>
      </c>
    </row>
    <row r="11" spans="1:6" ht="12.6" customHeight="1">
      <c r="A11" s="131" t="s">
        <v>3</v>
      </c>
      <c r="B11" s="116" t="s">
        <v>402</v>
      </c>
    </row>
    <row r="12" spans="1:6" ht="12.6" customHeight="1">
      <c r="A12" s="131" t="s">
        <v>4</v>
      </c>
      <c r="B12" s="116" t="s">
        <v>401</v>
      </c>
    </row>
    <row r="13" spans="1:6" ht="12.6" customHeight="1">
      <c r="A13" s="131" t="s">
        <v>390</v>
      </c>
      <c r="B13" s="116" t="s">
        <v>542</v>
      </c>
    </row>
    <row r="14" spans="1:6" ht="12.6" customHeight="1">
      <c r="A14" s="131" t="s">
        <v>391</v>
      </c>
      <c r="B14" s="116" t="s">
        <v>877</v>
      </c>
    </row>
    <row r="15" spans="1:6" ht="12.6" customHeight="1">
      <c r="A15" s="131" t="s">
        <v>392</v>
      </c>
      <c r="B15" s="116" t="s">
        <v>543</v>
      </c>
    </row>
    <row r="16" spans="1:6" ht="12.6" customHeight="1">
      <c r="A16" s="131" t="s">
        <v>266</v>
      </c>
      <c r="B16" s="116" t="s">
        <v>393</v>
      </c>
    </row>
    <row r="17" spans="1:7" ht="12.6" customHeight="1">
      <c r="A17" s="131" t="s">
        <v>601</v>
      </c>
      <c r="B17" s="116" t="s">
        <v>607</v>
      </c>
    </row>
    <row r="18" spans="1:7" ht="12.6" customHeight="1">
      <c r="A18" s="131" t="s">
        <v>562</v>
      </c>
      <c r="B18" s="116" t="s">
        <v>563</v>
      </c>
    </row>
    <row r="19" spans="1:7" ht="12.6" customHeight="1">
      <c r="A19" s="116"/>
    </row>
    <row r="20" spans="1:7" ht="12.6" customHeight="1">
      <c r="A20" s="132" t="s">
        <v>5</v>
      </c>
      <c r="B20" s="118"/>
      <c r="C20" s="125"/>
      <c r="D20" s="125"/>
      <c r="E20" s="125"/>
      <c r="F20" s="118"/>
      <c r="G20" s="118"/>
    </row>
    <row r="21" spans="1:7" ht="12.6" customHeight="1">
      <c r="A21" s="132"/>
      <c r="B21" s="118"/>
      <c r="C21" s="125"/>
      <c r="D21" s="125"/>
      <c r="E21" s="125"/>
      <c r="F21" s="118"/>
      <c r="G21" s="118"/>
    </row>
    <row r="22" spans="1:7" ht="12.6" customHeight="1">
      <c r="A22" s="133" t="s">
        <v>6</v>
      </c>
      <c r="B22" s="118" t="s">
        <v>281</v>
      </c>
      <c r="C22" s="125"/>
      <c r="D22" s="125"/>
      <c r="E22" s="125"/>
      <c r="F22" s="118"/>
      <c r="G22" s="118"/>
    </row>
    <row r="23" spans="1:7" ht="12.6" customHeight="1">
      <c r="A23" s="133" t="s">
        <v>11</v>
      </c>
      <c r="B23" s="118" t="s">
        <v>12</v>
      </c>
      <c r="C23" s="125"/>
      <c r="D23" s="125"/>
      <c r="E23" s="125"/>
      <c r="F23" s="118"/>
      <c r="G23" s="118"/>
    </row>
    <row r="24" spans="1:7" ht="12.6" customHeight="1">
      <c r="A24" s="133" t="s">
        <v>909</v>
      </c>
      <c r="B24" s="118" t="s">
        <v>1069</v>
      </c>
      <c r="C24" s="125"/>
      <c r="D24" s="125"/>
      <c r="E24" s="125"/>
      <c r="F24" s="118"/>
      <c r="G24" s="118"/>
    </row>
    <row r="25" spans="1:7" ht="12.6" customHeight="1">
      <c r="A25" s="132" t="s">
        <v>13</v>
      </c>
      <c r="B25" s="118" t="s">
        <v>280</v>
      </c>
      <c r="C25" s="125"/>
      <c r="D25" s="125"/>
      <c r="E25" s="125"/>
      <c r="F25" s="118"/>
      <c r="G25" s="118"/>
    </row>
    <row r="26" spans="1:7" ht="12.6" customHeight="1">
      <c r="A26" s="134" t="s">
        <v>14</v>
      </c>
      <c r="B26" s="118" t="s">
        <v>282</v>
      </c>
      <c r="C26" s="125"/>
      <c r="D26" s="125"/>
      <c r="E26" s="125"/>
      <c r="F26" s="118"/>
      <c r="G26" s="118"/>
    </row>
    <row r="27" spans="1:7" ht="12.6" customHeight="1">
      <c r="A27" s="135" t="s">
        <v>7</v>
      </c>
      <c r="B27" s="118" t="s">
        <v>283</v>
      </c>
      <c r="C27" s="125"/>
      <c r="D27" s="125"/>
      <c r="E27" s="125"/>
      <c r="F27" s="118"/>
      <c r="G27" s="118"/>
    </row>
    <row r="28" spans="1:7" ht="12.6" customHeight="1">
      <c r="A28" s="133" t="s">
        <v>380</v>
      </c>
      <c r="B28" s="118" t="s">
        <v>285</v>
      </c>
      <c r="C28" s="125"/>
      <c r="D28" s="125"/>
      <c r="E28" s="125"/>
      <c r="F28" s="118"/>
      <c r="G28" s="118"/>
    </row>
    <row r="29" spans="1:7" ht="12.6" customHeight="1">
      <c r="A29" s="133" t="s">
        <v>381</v>
      </c>
      <c r="B29" s="118" t="s">
        <v>284</v>
      </c>
      <c r="C29" s="125"/>
      <c r="D29" s="125"/>
      <c r="E29" s="125"/>
      <c r="F29" s="118"/>
      <c r="G29" s="118"/>
    </row>
    <row r="30" spans="1:7" ht="12.6" customHeight="1">
      <c r="A30" s="133" t="s">
        <v>382</v>
      </c>
      <c r="B30" s="118" t="s">
        <v>171</v>
      </c>
      <c r="C30" s="125"/>
      <c r="D30" s="125"/>
      <c r="E30" s="125"/>
      <c r="F30" s="118"/>
      <c r="G30" s="118"/>
    </row>
    <row r="31" spans="1:7" ht="12.6" customHeight="1">
      <c r="A31" s="133" t="s">
        <v>577</v>
      </c>
      <c r="B31" s="118" t="s">
        <v>8</v>
      </c>
      <c r="C31" s="125"/>
      <c r="D31" s="125"/>
      <c r="E31" s="125"/>
      <c r="F31" s="118"/>
      <c r="G31" s="118"/>
    </row>
    <row r="32" spans="1:7" ht="12.6" customHeight="1">
      <c r="A32" s="133" t="s">
        <v>9</v>
      </c>
      <c r="B32" s="118" t="s">
        <v>10</v>
      </c>
      <c r="C32" s="125"/>
      <c r="D32" s="125"/>
      <c r="E32" s="125"/>
      <c r="F32" s="118"/>
      <c r="G32" s="118"/>
    </row>
    <row r="33" spans="1:7" ht="12.6" customHeight="1">
      <c r="A33" s="133"/>
      <c r="B33" s="118"/>
      <c r="C33" s="125"/>
      <c r="D33" s="125"/>
      <c r="E33" s="125"/>
      <c r="F33" s="118"/>
      <c r="G33" s="118"/>
    </row>
    <row r="34" spans="1:7" ht="12.6" customHeight="1">
      <c r="A34" s="117" t="s">
        <v>265</v>
      </c>
      <c r="B34" s="118"/>
      <c r="C34" s="125"/>
      <c r="D34" s="125"/>
      <c r="E34" s="125"/>
      <c r="F34" s="118"/>
      <c r="G34" s="118"/>
    </row>
    <row r="35" spans="1:7" ht="12.6" customHeight="1">
      <c r="A35" s="117" t="s">
        <v>564</v>
      </c>
      <c r="B35" s="118"/>
      <c r="C35" s="125"/>
      <c r="D35" s="125"/>
      <c r="E35" s="125"/>
      <c r="F35" s="118"/>
      <c r="G35" s="118"/>
    </row>
    <row r="36" spans="1:7" ht="12.6" customHeight="1">
      <c r="B36" s="118"/>
      <c r="C36" s="125"/>
      <c r="D36" s="125"/>
      <c r="E36" s="125"/>
      <c r="F36" s="118"/>
      <c r="G36" s="118"/>
    </row>
    <row r="37" spans="1:7" ht="12" customHeight="1">
      <c r="A37" s="132" t="s">
        <v>467</v>
      </c>
      <c r="B37" s="118"/>
      <c r="C37" s="125"/>
      <c r="D37" s="125"/>
      <c r="E37" s="125"/>
      <c r="F37" s="118"/>
      <c r="G37" s="118"/>
    </row>
    <row r="38" spans="1:7" ht="12" customHeight="1">
      <c r="A38" s="132"/>
      <c r="B38" s="118"/>
      <c r="C38" s="125"/>
      <c r="D38" s="125"/>
      <c r="E38" s="125"/>
      <c r="F38" s="118"/>
      <c r="G38" s="118"/>
    </row>
    <row r="39" spans="1:7" ht="12.6" customHeight="1">
      <c r="A39" s="117" t="s">
        <v>15</v>
      </c>
      <c r="B39" s="118"/>
      <c r="C39" s="125"/>
      <c r="D39" s="125"/>
      <c r="E39" s="125"/>
      <c r="F39" s="118"/>
      <c r="G39" s="118"/>
    </row>
    <row r="40" spans="1:7" ht="12.6" customHeight="1">
      <c r="A40" s="117" t="s">
        <v>235</v>
      </c>
      <c r="B40" s="118"/>
      <c r="C40" s="125"/>
      <c r="D40" s="125"/>
      <c r="E40" s="125"/>
      <c r="F40" s="118"/>
      <c r="G40" s="118"/>
    </row>
    <row r="41" spans="1:7" ht="12.6" customHeight="1">
      <c r="A41" s="117" t="s">
        <v>229</v>
      </c>
      <c r="B41" s="118"/>
      <c r="C41" s="125"/>
      <c r="D41" s="125"/>
      <c r="E41" s="125"/>
      <c r="F41" s="118"/>
      <c r="G41" s="118"/>
    </row>
    <row r="42" spans="1:7" ht="12.6" customHeight="1">
      <c r="A42" s="117" t="s">
        <v>230</v>
      </c>
      <c r="B42" s="118"/>
      <c r="C42" s="125"/>
      <c r="D42" s="125"/>
      <c r="E42" s="125"/>
      <c r="F42" s="118"/>
      <c r="G42" s="118"/>
    </row>
    <row r="43" spans="1:7" ht="12.6" customHeight="1">
      <c r="A43" s="117" t="s">
        <v>231</v>
      </c>
      <c r="B43" s="118"/>
      <c r="C43" s="125"/>
      <c r="D43" s="125"/>
      <c r="E43" s="125"/>
      <c r="F43" s="118"/>
      <c r="G43" s="118"/>
    </row>
    <row r="44" spans="1:7" ht="12.6" customHeight="1">
      <c r="A44" s="117" t="s">
        <v>604</v>
      </c>
      <c r="B44" s="118"/>
      <c r="C44" s="125"/>
      <c r="D44" s="125"/>
      <c r="E44" s="125"/>
      <c r="F44" s="118"/>
      <c r="G44" s="118"/>
    </row>
    <row r="45" spans="1:7" ht="12.6" customHeight="1">
      <c r="A45" s="117" t="s">
        <v>606</v>
      </c>
      <c r="B45" s="118"/>
      <c r="C45" s="125"/>
      <c r="D45" s="125"/>
      <c r="E45" s="125"/>
      <c r="F45" s="118"/>
      <c r="G45" s="118"/>
    </row>
    <row r="46" spans="1:7" ht="12" customHeight="1">
      <c r="A46" s="117" t="s">
        <v>233</v>
      </c>
      <c r="B46" s="118"/>
      <c r="C46" s="125"/>
      <c r="D46" s="125"/>
      <c r="E46" s="125"/>
      <c r="F46" s="118"/>
      <c r="G46" s="118"/>
    </row>
    <row r="47" spans="1:7" ht="12" customHeight="1">
      <c r="A47" s="117" t="s">
        <v>234</v>
      </c>
      <c r="B47" s="118"/>
      <c r="C47" s="125"/>
      <c r="D47" s="125"/>
      <c r="E47" s="125"/>
      <c r="F47" s="118"/>
      <c r="G47" s="118"/>
    </row>
    <row r="48" spans="1:7" ht="12" customHeight="1">
      <c r="A48" s="117" t="s">
        <v>1070</v>
      </c>
      <c r="B48" s="118"/>
      <c r="C48" s="125"/>
      <c r="D48" s="125"/>
      <c r="E48" s="125"/>
      <c r="F48" s="118"/>
      <c r="G48" s="118"/>
    </row>
    <row r="49" spans="1:7" ht="12" customHeight="1">
      <c r="A49" s="117" t="s">
        <v>238</v>
      </c>
      <c r="B49" s="118"/>
      <c r="C49" s="125"/>
      <c r="D49" s="125"/>
      <c r="E49" s="125"/>
      <c r="F49" s="118"/>
      <c r="G49" s="118"/>
    </row>
    <row r="50" spans="1:7" ht="12.6" customHeight="1">
      <c r="A50" s="117" t="s">
        <v>232</v>
      </c>
      <c r="B50" s="118"/>
      <c r="C50" s="125"/>
      <c r="D50" s="125"/>
      <c r="E50" s="125"/>
      <c r="F50" s="118"/>
      <c r="G50" s="118"/>
    </row>
    <row r="51" spans="1:7" ht="12.6" customHeight="1">
      <c r="A51" s="117" t="s">
        <v>236</v>
      </c>
      <c r="B51" s="118"/>
      <c r="C51" s="125"/>
      <c r="D51" s="125"/>
      <c r="E51" s="125"/>
      <c r="F51" s="118"/>
      <c r="G51" s="118"/>
    </row>
    <row r="52" spans="1:7" ht="12.6" customHeight="1">
      <c r="A52" s="117" t="s">
        <v>237</v>
      </c>
      <c r="B52" s="118"/>
      <c r="C52" s="125"/>
      <c r="D52" s="125"/>
      <c r="E52" s="125"/>
      <c r="F52" s="118"/>
      <c r="G52" s="118"/>
    </row>
    <row r="53" spans="1:7" ht="12" customHeight="1">
      <c r="A53" s="117" t="s">
        <v>468</v>
      </c>
      <c r="B53" s="118"/>
      <c r="C53" s="125"/>
      <c r="D53" s="125"/>
      <c r="E53" s="125"/>
      <c r="F53" s="118"/>
      <c r="G53" s="118"/>
    </row>
    <row r="54" spans="1:7" ht="12" customHeight="1">
      <c r="A54" s="117" t="s">
        <v>586</v>
      </c>
      <c r="B54" s="118"/>
      <c r="C54" s="125"/>
      <c r="D54" s="125"/>
      <c r="E54" s="125"/>
      <c r="F54" s="118"/>
      <c r="G54" s="118"/>
    </row>
    <row r="55" spans="1:7" ht="12" customHeight="1">
      <c r="A55" s="117" t="s">
        <v>852</v>
      </c>
      <c r="B55" s="118"/>
      <c r="C55" s="125"/>
      <c r="D55" s="125"/>
      <c r="E55" s="125"/>
      <c r="F55" s="118"/>
      <c r="G55" s="118"/>
    </row>
    <row r="56" spans="1:7" ht="12" customHeight="1">
      <c r="A56" s="117" t="s">
        <v>1048</v>
      </c>
      <c r="B56" s="118"/>
      <c r="C56" s="125"/>
      <c r="D56" s="125"/>
      <c r="E56" s="125"/>
      <c r="F56" s="118"/>
      <c r="G56" s="118"/>
    </row>
    <row r="57" spans="1:7" ht="12" customHeight="1">
      <c r="B57" s="118"/>
      <c r="C57" s="125"/>
      <c r="D57" s="125"/>
      <c r="E57" s="125"/>
      <c r="F57" s="118"/>
      <c r="G57" s="118"/>
    </row>
    <row r="58" spans="1:7" ht="12" customHeight="1">
      <c r="A58" s="119">
        <v>0.7</v>
      </c>
      <c r="B58" s="116" t="s">
        <v>1068</v>
      </c>
      <c r="C58" s="125"/>
    </row>
    <row r="59" spans="1:7" ht="12" customHeight="1">
      <c r="B59" s="118"/>
      <c r="C59" s="125"/>
      <c r="D59" s="125"/>
      <c r="E59" s="125"/>
      <c r="F59" s="118"/>
      <c r="G59" s="118"/>
    </row>
    <row r="60" spans="1:7" ht="12" customHeight="1">
      <c r="A60" s="120" t="s">
        <v>369</v>
      </c>
      <c r="B60" s="121" t="s">
        <v>541</v>
      </c>
      <c r="C60" s="124"/>
      <c r="D60" s="124"/>
      <c r="E60" s="124"/>
      <c r="F60" s="118"/>
      <c r="G60" s="118"/>
    </row>
    <row r="61" spans="1:7" ht="12" customHeight="1">
      <c r="A61" s="122" t="s">
        <v>423</v>
      </c>
      <c r="B61" s="123" t="s">
        <v>374</v>
      </c>
      <c r="C61" s="124"/>
      <c r="D61" s="124"/>
      <c r="E61" s="124"/>
      <c r="F61" s="118"/>
      <c r="G61" s="118"/>
    </row>
    <row r="62" spans="1:7" ht="12" customHeight="1">
      <c r="A62" s="124" t="s">
        <v>424</v>
      </c>
      <c r="B62" s="123" t="s">
        <v>422</v>
      </c>
      <c r="C62" s="124"/>
      <c r="D62" s="124"/>
      <c r="E62" s="124"/>
      <c r="F62" s="118"/>
      <c r="G62" s="118"/>
    </row>
    <row r="63" spans="1:7" ht="12" customHeight="1">
      <c r="A63" s="124" t="s">
        <v>425</v>
      </c>
      <c r="B63" s="123" t="s">
        <v>375</v>
      </c>
      <c r="C63" s="124"/>
      <c r="D63" s="124"/>
      <c r="E63" s="124"/>
      <c r="F63" s="118"/>
      <c r="G63" s="118"/>
    </row>
    <row r="64" spans="1:7" ht="12" customHeight="1">
      <c r="A64" s="124" t="s">
        <v>370</v>
      </c>
      <c r="B64" s="123" t="s">
        <v>376</v>
      </c>
      <c r="C64" s="124"/>
      <c r="D64" s="124"/>
      <c r="E64" s="124"/>
      <c r="F64" s="118"/>
      <c r="G64" s="118"/>
    </row>
    <row r="65" spans="1:7" ht="12" customHeight="1">
      <c r="A65" s="124" t="s">
        <v>371</v>
      </c>
      <c r="B65" s="123" t="s">
        <v>377</v>
      </c>
      <c r="C65" s="124"/>
      <c r="D65" s="124"/>
      <c r="E65" s="124"/>
      <c r="F65" s="118"/>
      <c r="G65" s="118"/>
    </row>
    <row r="66" spans="1:7" ht="12" customHeight="1">
      <c r="A66" s="124" t="s">
        <v>372</v>
      </c>
      <c r="B66" s="123" t="s">
        <v>378</v>
      </c>
      <c r="C66" s="124"/>
      <c r="D66" s="124"/>
      <c r="E66" s="124"/>
      <c r="F66" s="118"/>
      <c r="G66" s="118"/>
    </row>
    <row r="67" spans="1:7" ht="12" customHeight="1">
      <c r="A67" s="124" t="s">
        <v>373</v>
      </c>
      <c r="B67" s="123" t="s">
        <v>379</v>
      </c>
      <c r="C67" s="124"/>
      <c r="D67" s="124"/>
      <c r="E67" s="124"/>
      <c r="F67" s="118"/>
      <c r="G67" s="118"/>
    </row>
    <row r="68" spans="1:7" ht="12" customHeight="1">
      <c r="A68" s="124" t="s">
        <v>419</v>
      </c>
      <c r="B68" s="123" t="s">
        <v>457</v>
      </c>
      <c r="C68" s="124"/>
      <c r="D68" s="124"/>
      <c r="E68" s="124"/>
      <c r="F68" s="118"/>
      <c r="G68" s="118"/>
    </row>
    <row r="69" spans="1:7" ht="12" customHeight="1">
      <c r="A69" s="125" t="s">
        <v>420</v>
      </c>
      <c r="B69" s="118" t="s">
        <v>421</v>
      </c>
      <c r="C69" s="125"/>
      <c r="D69" s="125"/>
      <c r="E69" s="125"/>
      <c r="F69" s="118"/>
      <c r="G69" s="118"/>
    </row>
  </sheetData>
  <sheetProtection password="990B" sheet="1" objects="1" scenarios="1"/>
  <mergeCells count="1">
    <mergeCell ref="A5:B5"/>
  </mergeCells>
  <phoneticPr fontId="0" type="noConversion"/>
  <pageMargins left="0.3" right="0" top="0.5" bottom="0" header="0.59055118110236204" footer="0.511811023622047"/>
  <pageSetup orientation="landscape" r:id="rId1"/>
  <headerFooter alignWithMargins="0">
    <oddHeader>&amp;R&amp;9(&amp;P of &amp;N)</oddHead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81"/>
  <sheetViews>
    <sheetView view="pageLayout" zoomScaleNormal="100" workbookViewId="0"/>
  </sheetViews>
  <sheetFormatPr defaultRowHeight="12.6" customHeight="1"/>
  <cols>
    <col min="1" max="1" width="7.140625" style="5" customWidth="1"/>
    <col min="2" max="2" width="20.140625" style="54" customWidth="1"/>
    <col min="3" max="3" width="4.7109375" style="11" customWidth="1"/>
    <col min="4" max="4" width="6.28515625" style="12" customWidth="1"/>
    <col min="5" max="5" width="6.28515625" style="11" customWidth="1"/>
    <col min="6" max="6" width="4.85546875" style="11" customWidth="1"/>
    <col min="7" max="7" width="5.28515625" style="25" customWidth="1"/>
    <col min="8" max="11" width="5.28515625" style="12" customWidth="1"/>
    <col min="12" max="12" width="5.28515625" style="11" customWidth="1"/>
    <col min="13" max="13" width="5.28515625" style="12" customWidth="1"/>
    <col min="14" max="14" width="5.28515625" style="11" customWidth="1"/>
    <col min="15" max="15" width="5.28515625" style="12" customWidth="1"/>
    <col min="16" max="16" width="5.28515625" style="11" customWidth="1"/>
    <col min="17" max="17" width="5.28515625" style="12" customWidth="1"/>
    <col min="18" max="18" width="6.42578125" style="12" customWidth="1"/>
    <col min="19" max="19" width="5.28515625" style="2" customWidth="1"/>
    <col min="20" max="20" width="5.28515625" style="12" customWidth="1"/>
    <col min="21" max="21" width="6.42578125" style="12" customWidth="1"/>
    <col min="22" max="22" width="2.5703125" style="5" customWidth="1"/>
    <col min="23" max="23" width="2.28515625" style="12" customWidth="1"/>
    <col min="24" max="16384" width="9.140625" style="5"/>
  </cols>
  <sheetData>
    <row r="1" spans="1:24" s="17" customFormat="1" ht="12.6" customHeight="1">
      <c r="A1" s="127" t="str">
        <f>i!A1</f>
        <v>Lens$db: Lens Price database</v>
      </c>
      <c r="B1" s="6"/>
      <c r="C1" s="7"/>
      <c r="D1" s="127"/>
      <c r="E1" s="7"/>
      <c r="F1" s="7"/>
      <c r="G1" s="15"/>
      <c r="H1" s="15"/>
      <c r="I1" s="2" t="s">
        <v>16</v>
      </c>
      <c r="J1" s="15"/>
      <c r="K1" s="2" t="s">
        <v>16</v>
      </c>
      <c r="L1" s="2"/>
      <c r="M1" s="3"/>
      <c r="N1" s="2"/>
      <c r="O1" s="3"/>
      <c r="P1" s="2" t="s">
        <v>16</v>
      </c>
      <c r="Q1" s="3" t="s">
        <v>16</v>
      </c>
      <c r="R1" s="13" t="str">
        <f>i!B3</f>
        <v>.2016-02-01</v>
      </c>
      <c r="S1" s="13"/>
      <c r="T1" s="3"/>
      <c r="U1" s="2" t="s">
        <v>16</v>
      </c>
      <c r="W1" s="3"/>
    </row>
    <row r="2" spans="1:24" s="17" customFormat="1" ht="12.6" customHeight="1">
      <c r="A2" s="66" t="str">
        <f>i!A3</f>
        <v>v.30</v>
      </c>
      <c r="B2" s="37" t="s">
        <v>1074</v>
      </c>
      <c r="C2" s="7"/>
      <c r="D2" s="127"/>
      <c r="E2" s="7"/>
      <c r="F2" s="7"/>
      <c r="G2" s="15"/>
      <c r="H2" s="15"/>
      <c r="I2" s="2"/>
      <c r="J2" s="15"/>
      <c r="K2" s="2"/>
      <c r="L2" s="2"/>
      <c r="M2" s="3"/>
      <c r="N2" s="2"/>
      <c r="O2" s="3"/>
      <c r="P2" s="2"/>
      <c r="Q2" s="3"/>
      <c r="R2" s="13"/>
      <c r="S2" s="13"/>
      <c r="T2" s="3"/>
      <c r="U2" s="2"/>
      <c r="W2" s="3"/>
    </row>
    <row r="3" spans="1:24" s="17" customFormat="1" ht="12.6" customHeight="1">
      <c r="A3" s="15"/>
      <c r="B3" s="6"/>
      <c r="C3" s="28"/>
      <c r="D3" s="136"/>
      <c r="E3" s="28"/>
      <c r="F3" s="28"/>
      <c r="G3" s="30"/>
      <c r="H3" s="30"/>
      <c r="I3" s="30"/>
      <c r="J3" s="30"/>
      <c r="K3" s="183"/>
      <c r="L3" s="33"/>
      <c r="M3" s="34"/>
      <c r="N3" s="180" t="s">
        <v>17</v>
      </c>
      <c r="O3" s="34"/>
      <c r="P3" s="166"/>
      <c r="Q3" s="140"/>
      <c r="R3" s="140" t="s">
        <v>18</v>
      </c>
      <c r="S3" s="34"/>
      <c r="T3" s="34"/>
      <c r="U3" s="53"/>
      <c r="W3" s="3"/>
    </row>
    <row r="4" spans="1:24" s="17" customFormat="1" ht="12.6" customHeight="1">
      <c r="A4" s="15" t="s">
        <v>36</v>
      </c>
      <c r="B4" s="179"/>
      <c r="C4" s="16" t="s">
        <v>6</v>
      </c>
      <c r="D4" s="16" t="s">
        <v>11</v>
      </c>
      <c r="E4" s="16" t="s">
        <v>909</v>
      </c>
      <c r="F4" s="67" t="s">
        <v>13</v>
      </c>
      <c r="G4" s="68" t="s">
        <v>329</v>
      </c>
      <c r="H4" s="69" t="s">
        <v>7</v>
      </c>
      <c r="I4" s="2" t="s">
        <v>380</v>
      </c>
      <c r="J4" s="2" t="s">
        <v>381</v>
      </c>
      <c r="K4" s="41" t="s">
        <v>382</v>
      </c>
      <c r="L4" s="42" t="s">
        <v>576</v>
      </c>
      <c r="M4" s="43"/>
      <c r="N4" s="44" t="s">
        <v>19</v>
      </c>
      <c r="O4" s="27"/>
      <c r="P4" s="47"/>
      <c r="Q4" s="34" t="s">
        <v>577</v>
      </c>
      <c r="R4" s="53"/>
      <c r="S4" s="180"/>
      <c r="T4" s="43" t="s">
        <v>9</v>
      </c>
      <c r="U4" s="43"/>
      <c r="W4" s="3"/>
    </row>
    <row r="5" spans="1:24" s="17" customFormat="1" ht="12.6" customHeight="1">
      <c r="A5" s="48" t="s">
        <v>16</v>
      </c>
      <c r="B5" s="181" t="s">
        <v>16</v>
      </c>
      <c r="C5" s="61" t="s">
        <v>20</v>
      </c>
      <c r="D5" s="61" t="s">
        <v>16</v>
      </c>
      <c r="E5" s="61" t="s">
        <v>16</v>
      </c>
      <c r="F5" s="65" t="s">
        <v>16</v>
      </c>
      <c r="G5" s="50" t="s">
        <v>37</v>
      </c>
      <c r="H5" s="31" t="s">
        <v>21</v>
      </c>
      <c r="I5" s="27" t="s">
        <v>20</v>
      </c>
      <c r="J5" s="27" t="s">
        <v>20</v>
      </c>
      <c r="K5" s="43" t="s">
        <v>20</v>
      </c>
      <c r="L5" s="52" t="s">
        <v>22</v>
      </c>
      <c r="M5" s="43" t="s">
        <v>23</v>
      </c>
      <c r="N5" s="27" t="s">
        <v>22</v>
      </c>
      <c r="O5" s="43" t="s">
        <v>23</v>
      </c>
      <c r="P5" s="52" t="s">
        <v>22</v>
      </c>
      <c r="Q5" s="27" t="s">
        <v>23</v>
      </c>
      <c r="R5" s="43" t="s">
        <v>24</v>
      </c>
      <c r="S5" s="46" t="s">
        <v>22</v>
      </c>
      <c r="T5" s="34" t="s">
        <v>23</v>
      </c>
      <c r="U5" s="53" t="s">
        <v>24</v>
      </c>
      <c r="W5" s="3"/>
    </row>
    <row r="6" spans="1:24" ht="12.6" customHeight="1">
      <c r="A6" s="66" t="s">
        <v>38</v>
      </c>
      <c r="B6" s="37" t="s">
        <v>632</v>
      </c>
      <c r="C6" s="2">
        <v>14</v>
      </c>
      <c r="D6" s="3">
        <v>2.8</v>
      </c>
      <c r="E6" s="41">
        <f>1.6*C6</f>
        <v>22.400000000000002</v>
      </c>
      <c r="F6" s="2" t="s">
        <v>39</v>
      </c>
      <c r="G6" s="68">
        <v>0.25</v>
      </c>
      <c r="H6" s="69">
        <v>0.56000000000000005</v>
      </c>
      <c r="I6" s="2">
        <v>89</v>
      </c>
      <c r="J6" s="2">
        <v>77</v>
      </c>
      <c r="K6" s="3" t="s">
        <v>40</v>
      </c>
      <c r="L6" s="58">
        <f>AVERAGE(770,750,950,885,723,990,910,949,850,803,799)</f>
        <v>852.63636363636363</v>
      </c>
      <c r="M6" s="16" t="s">
        <v>1072</v>
      </c>
      <c r="N6" s="58">
        <f>AVERAGE(1000,1199,1129,1130,1210,1100,1255,1035)</f>
        <v>1132.25</v>
      </c>
      <c r="O6" s="160" t="s">
        <v>1047</v>
      </c>
      <c r="P6" s="58">
        <f>1500*CA.US</f>
        <v>1050</v>
      </c>
      <c r="Q6" s="16" t="s">
        <v>1045</v>
      </c>
      <c r="R6" s="41" t="s">
        <v>1037</v>
      </c>
      <c r="S6" s="58" t="s">
        <v>16</v>
      </c>
      <c r="T6" s="16" t="s">
        <v>16</v>
      </c>
      <c r="U6" s="41" t="s">
        <v>16</v>
      </c>
    </row>
    <row r="7" spans="1:24" ht="12.6" customHeight="1">
      <c r="A7" s="66" t="s">
        <v>38</v>
      </c>
      <c r="B7" s="37" t="s">
        <v>633</v>
      </c>
      <c r="C7" s="2">
        <v>14</v>
      </c>
      <c r="D7" s="3">
        <v>2.8</v>
      </c>
      <c r="E7" s="41">
        <f t="shared" ref="E7:E32" si="0">1.6*C7</f>
        <v>22.400000000000002</v>
      </c>
      <c r="F7" s="2" t="s">
        <v>39</v>
      </c>
      <c r="G7" s="68">
        <v>0.2</v>
      </c>
      <c r="H7" s="69">
        <v>0.64500000000000002</v>
      </c>
      <c r="I7" s="2">
        <v>94</v>
      </c>
      <c r="J7" s="2">
        <v>80</v>
      </c>
      <c r="K7" s="3" t="s">
        <v>40</v>
      </c>
      <c r="L7" s="58">
        <f>AVERAGE(1075,1099,1246,1191,1280,1199)</f>
        <v>1181.6666666666667</v>
      </c>
      <c r="M7" s="16" t="s">
        <v>1072</v>
      </c>
      <c r="N7" s="58">
        <f>AVERAGE(1200,1699,1851,1650,1550,1751,1665,1600)</f>
        <v>1620.75</v>
      </c>
      <c r="O7" s="160" t="s">
        <v>1072</v>
      </c>
      <c r="P7" s="58">
        <v>1295</v>
      </c>
      <c r="Q7" s="16" t="s">
        <v>1072</v>
      </c>
      <c r="R7" s="41" t="s">
        <v>28</v>
      </c>
      <c r="S7" s="58">
        <v>1560</v>
      </c>
      <c r="T7" s="16" t="s">
        <v>1072</v>
      </c>
      <c r="U7" s="41" t="s">
        <v>906</v>
      </c>
    </row>
    <row r="8" spans="1:24" ht="12.6" customHeight="1">
      <c r="A8" s="66" t="s">
        <v>38</v>
      </c>
      <c r="B8" s="37" t="s">
        <v>634</v>
      </c>
      <c r="C8" s="2">
        <v>15</v>
      </c>
      <c r="D8" s="3">
        <v>2.8</v>
      </c>
      <c r="E8" s="41">
        <f t="shared" si="0"/>
        <v>24</v>
      </c>
      <c r="F8" s="2" t="s">
        <v>39</v>
      </c>
      <c r="G8" s="68">
        <v>0.2</v>
      </c>
      <c r="H8" s="69">
        <v>0.33</v>
      </c>
      <c r="I8" s="2">
        <v>62.2</v>
      </c>
      <c r="J8" s="2">
        <v>73</v>
      </c>
      <c r="K8" s="3" t="s">
        <v>40</v>
      </c>
      <c r="L8" s="58">
        <f>AVERAGE(426,443,427,470,465,389,445,500,490)</f>
        <v>450.55555555555554</v>
      </c>
      <c r="M8" s="2" t="s">
        <v>1072</v>
      </c>
      <c r="N8" s="58">
        <f>AVERAGE(579,530,625,640,620,645,600,625)</f>
        <v>608</v>
      </c>
      <c r="O8" s="2" t="s">
        <v>1072</v>
      </c>
      <c r="P8" s="58">
        <v>650</v>
      </c>
      <c r="Q8" s="2" t="s">
        <v>1072</v>
      </c>
      <c r="R8" s="41" t="s">
        <v>30</v>
      </c>
      <c r="S8" s="58">
        <v>730</v>
      </c>
      <c r="T8" s="2" t="s">
        <v>981</v>
      </c>
      <c r="U8" s="41" t="s">
        <v>30</v>
      </c>
    </row>
    <row r="9" spans="1:24" ht="12.6" customHeight="1">
      <c r="A9" s="66" t="s">
        <v>38</v>
      </c>
      <c r="B9" s="37" t="s">
        <v>635</v>
      </c>
      <c r="C9" s="2">
        <v>17</v>
      </c>
      <c r="D9" s="3">
        <v>4</v>
      </c>
      <c r="E9" s="41">
        <f t="shared" si="0"/>
        <v>27.200000000000003</v>
      </c>
      <c r="F9" s="2" t="s">
        <v>740</v>
      </c>
      <c r="G9" s="68">
        <v>0.25</v>
      </c>
      <c r="H9" s="69">
        <v>0.82</v>
      </c>
      <c r="I9" s="2">
        <v>106.7</v>
      </c>
      <c r="J9" s="2">
        <v>88.9</v>
      </c>
      <c r="K9" s="3" t="s">
        <v>31</v>
      </c>
      <c r="L9" s="58">
        <f>AVERAGE(1650,1500,1699,1475,1630,1600,1700,1520)</f>
        <v>1596.75</v>
      </c>
      <c r="M9" s="2" t="s">
        <v>1047</v>
      </c>
      <c r="N9" s="58">
        <f>AVERAGE(1745,1779,1750,1700,1999,1999,1815,1954)</f>
        <v>1842.625</v>
      </c>
      <c r="O9" s="2" t="s">
        <v>1072</v>
      </c>
      <c r="P9" s="58">
        <f>2000*CA.US</f>
        <v>1400</v>
      </c>
      <c r="Q9" s="2" t="s">
        <v>1045</v>
      </c>
      <c r="R9" s="41" t="s">
        <v>1037</v>
      </c>
      <c r="S9" s="58">
        <v>1900</v>
      </c>
      <c r="T9" s="2" t="s">
        <v>1072</v>
      </c>
      <c r="U9" s="41" t="s">
        <v>32</v>
      </c>
    </row>
    <row r="10" spans="1:24" ht="12.6" customHeight="1">
      <c r="A10" s="60" t="s">
        <v>38</v>
      </c>
      <c r="B10" s="49" t="s">
        <v>636</v>
      </c>
      <c r="C10" s="27">
        <v>20</v>
      </c>
      <c r="D10" s="64">
        <v>2.8</v>
      </c>
      <c r="E10" s="43">
        <f t="shared" si="0"/>
        <v>32</v>
      </c>
      <c r="F10" s="27" t="s">
        <v>39</v>
      </c>
      <c r="G10" s="50">
        <v>0.25</v>
      </c>
      <c r="H10" s="31">
        <v>0.40500000000000003</v>
      </c>
      <c r="I10" s="27">
        <v>70.599999999999994</v>
      </c>
      <c r="J10" s="27">
        <v>77.5</v>
      </c>
      <c r="K10" s="64">
        <v>72</v>
      </c>
      <c r="L10" s="52">
        <f>AVERAGE(250,281,269,235,275,257,236,305,266)</f>
        <v>263.77777777777777</v>
      </c>
      <c r="M10" s="155" t="s">
        <v>1072</v>
      </c>
      <c r="N10" s="52">
        <f>AVERAGE(286,324,325,305,320,322,328,350,330,381)</f>
        <v>327.10000000000002</v>
      </c>
      <c r="O10" s="155" t="s">
        <v>1072</v>
      </c>
      <c r="P10" s="52">
        <v>370</v>
      </c>
      <c r="Q10" s="61" t="s">
        <v>1072</v>
      </c>
      <c r="R10" s="43" t="s">
        <v>33</v>
      </c>
      <c r="S10" s="52">
        <v>490</v>
      </c>
      <c r="T10" s="61" t="s">
        <v>1045</v>
      </c>
      <c r="U10" s="43" t="s">
        <v>30</v>
      </c>
    </row>
    <row r="11" spans="1:24" ht="12.6" customHeight="1">
      <c r="A11" s="66" t="s">
        <v>38</v>
      </c>
      <c r="B11" s="37" t="s">
        <v>637</v>
      </c>
      <c r="C11" s="2">
        <v>24</v>
      </c>
      <c r="D11" s="3">
        <v>1.4</v>
      </c>
      <c r="E11" s="41">
        <f t="shared" si="0"/>
        <v>38.400000000000006</v>
      </c>
      <c r="F11" s="2" t="s">
        <v>39</v>
      </c>
      <c r="G11" s="68">
        <v>0.25</v>
      </c>
      <c r="H11" s="69">
        <v>0.55000000000000004</v>
      </c>
      <c r="I11" s="2">
        <v>77.400000000000006</v>
      </c>
      <c r="J11" s="2">
        <v>83.5</v>
      </c>
      <c r="K11" s="3">
        <v>77</v>
      </c>
      <c r="L11" s="58">
        <f>AVERAGE(732,668,689,630,825,784,767,815,730)</f>
        <v>737.77777777777783</v>
      </c>
      <c r="M11" s="16" t="s">
        <v>1072</v>
      </c>
      <c r="N11" s="58">
        <f xml:space="preserve"> AVERAGE(925,1027,930,1157,998,1149,960,1059,900,975,932)</f>
        <v>1001.0909090909091</v>
      </c>
      <c r="O11" s="16" t="s">
        <v>1013</v>
      </c>
      <c r="P11" s="58">
        <v>850</v>
      </c>
      <c r="Q11" s="16" t="s">
        <v>1072</v>
      </c>
      <c r="R11" s="41" t="s">
        <v>28</v>
      </c>
      <c r="S11" s="58">
        <f>825*CA.US</f>
        <v>577.5</v>
      </c>
      <c r="T11" s="16" t="s">
        <v>1045</v>
      </c>
      <c r="U11" s="41" t="s">
        <v>418</v>
      </c>
    </row>
    <row r="12" spans="1:24" ht="12.6" customHeight="1">
      <c r="A12" s="66" t="s">
        <v>38</v>
      </c>
      <c r="B12" s="37" t="s">
        <v>638</v>
      </c>
      <c r="C12" s="2">
        <v>24</v>
      </c>
      <c r="D12" s="3">
        <v>1.4</v>
      </c>
      <c r="E12" s="41">
        <f t="shared" si="0"/>
        <v>38.400000000000006</v>
      </c>
      <c r="F12" s="2" t="s">
        <v>39</v>
      </c>
      <c r="G12" s="68">
        <v>0.25</v>
      </c>
      <c r="H12" s="69">
        <v>0.65</v>
      </c>
      <c r="I12" s="2">
        <v>93.5</v>
      </c>
      <c r="J12" s="2">
        <v>86.9</v>
      </c>
      <c r="K12" s="3">
        <v>77</v>
      </c>
      <c r="L12" s="58">
        <f>AVERAGE(735,840,853,840,863,925,925,896,850)</f>
        <v>858.55555555555554</v>
      </c>
      <c r="M12" s="16" t="s">
        <v>1072</v>
      </c>
      <c r="N12" s="58">
        <f>AVERAGE(987,949,1049,1058,1024,1100,1029,1091)</f>
        <v>1035.875</v>
      </c>
      <c r="O12" s="16" t="s">
        <v>1072</v>
      </c>
      <c r="P12" s="58">
        <v>1120</v>
      </c>
      <c r="Q12" s="16" t="s">
        <v>1072</v>
      </c>
      <c r="R12" s="41" t="s">
        <v>30</v>
      </c>
      <c r="S12" s="58">
        <v>995</v>
      </c>
      <c r="T12" s="16" t="s">
        <v>1072</v>
      </c>
      <c r="U12" s="41" t="s">
        <v>28</v>
      </c>
      <c r="W12" s="3"/>
      <c r="X12" s="2"/>
    </row>
    <row r="13" spans="1:24" ht="12.6" customHeight="1">
      <c r="A13" s="66" t="s">
        <v>38</v>
      </c>
      <c r="B13" s="37" t="s">
        <v>639</v>
      </c>
      <c r="C13" s="2">
        <v>24</v>
      </c>
      <c r="D13" s="3">
        <v>2.8</v>
      </c>
      <c r="E13" s="41">
        <f t="shared" si="0"/>
        <v>38.400000000000006</v>
      </c>
      <c r="F13" s="2" t="s">
        <v>39</v>
      </c>
      <c r="G13" s="68">
        <v>0.25</v>
      </c>
      <c r="H13" s="69">
        <v>0.27</v>
      </c>
      <c r="I13" s="2">
        <v>48.5</v>
      </c>
      <c r="J13" s="2">
        <v>67.5</v>
      </c>
      <c r="K13" s="3">
        <v>58</v>
      </c>
      <c r="L13" s="58">
        <f>AVERAGE(131,128,175,164,160,139,173)</f>
        <v>152.85714285714286</v>
      </c>
      <c r="M13" s="16" t="s">
        <v>1072</v>
      </c>
      <c r="N13" s="58">
        <f>AVERAGE(245,195,250,258,220,239,249)</f>
        <v>236.57142857142858</v>
      </c>
      <c r="O13" s="16" t="s">
        <v>1072</v>
      </c>
      <c r="P13" s="58">
        <v>280</v>
      </c>
      <c r="Q13" s="16" t="s">
        <v>1072</v>
      </c>
      <c r="R13" s="41" t="s">
        <v>30</v>
      </c>
      <c r="S13" s="58">
        <v>300</v>
      </c>
      <c r="T13" s="16" t="s">
        <v>1072</v>
      </c>
      <c r="U13" s="41" t="s">
        <v>30</v>
      </c>
      <c r="W13" s="3"/>
      <c r="X13" s="17"/>
    </row>
    <row r="14" spans="1:24" ht="12.6" customHeight="1">
      <c r="A14" s="66" t="s">
        <v>38</v>
      </c>
      <c r="B14" s="37" t="s">
        <v>705</v>
      </c>
      <c r="C14" s="2">
        <v>24</v>
      </c>
      <c r="D14" s="3">
        <v>2.8</v>
      </c>
      <c r="E14" s="41">
        <f t="shared" si="0"/>
        <v>38.400000000000006</v>
      </c>
      <c r="F14" s="2" t="s">
        <v>39</v>
      </c>
      <c r="G14" s="68">
        <v>0.2</v>
      </c>
      <c r="H14" s="69">
        <v>0.28100000000000003</v>
      </c>
      <c r="I14" s="2">
        <v>55.6</v>
      </c>
      <c r="J14" s="2">
        <v>68.3</v>
      </c>
      <c r="K14" s="3">
        <v>58</v>
      </c>
      <c r="L14" s="58">
        <f>AVERAGE(305,375,400,353,375,354,427,416,342,377)</f>
        <v>372.4</v>
      </c>
      <c r="M14" s="16" t="s">
        <v>1045</v>
      </c>
      <c r="N14" s="58">
        <f>AVERAGE(398,400,425,499,500,435,420)</f>
        <v>439.57142857142856</v>
      </c>
      <c r="O14" s="16" t="s">
        <v>1072</v>
      </c>
      <c r="P14" s="58">
        <v>410</v>
      </c>
      <c r="Q14" s="16" t="s">
        <v>1072</v>
      </c>
      <c r="R14" s="41" t="s">
        <v>906</v>
      </c>
      <c r="S14" s="58">
        <v>395</v>
      </c>
      <c r="T14" s="16" t="s">
        <v>1072</v>
      </c>
      <c r="U14" s="41" t="s">
        <v>28</v>
      </c>
      <c r="W14" s="3"/>
      <c r="X14" s="17"/>
    </row>
    <row r="15" spans="1:24" ht="12.6" customHeight="1">
      <c r="A15" s="66" t="s">
        <v>38</v>
      </c>
      <c r="B15" s="37" t="s">
        <v>640</v>
      </c>
      <c r="C15" s="2">
        <v>24</v>
      </c>
      <c r="D15" s="3">
        <v>3.5</v>
      </c>
      <c r="E15" s="41">
        <f t="shared" si="0"/>
        <v>38.400000000000006</v>
      </c>
      <c r="F15" s="2" t="s">
        <v>740</v>
      </c>
      <c r="G15" s="68">
        <v>0.3</v>
      </c>
      <c r="H15" s="69">
        <v>0.56999999999999995</v>
      </c>
      <c r="I15" s="2">
        <v>86.7</v>
      </c>
      <c r="J15" s="2">
        <v>78</v>
      </c>
      <c r="K15" s="3">
        <v>72</v>
      </c>
      <c r="L15" s="58">
        <f>AVERAGE(648,550,600,583,710,650,790,720,709)</f>
        <v>662.22222222222217</v>
      </c>
      <c r="M15" s="16" t="s">
        <v>1072</v>
      </c>
      <c r="N15" s="58">
        <f>AVERAGE(750,819,920,820,875,1100,850,880,910,1159,967)</f>
        <v>913.63636363636363</v>
      </c>
      <c r="O15" s="16" t="s">
        <v>1072</v>
      </c>
      <c r="P15" s="58">
        <v>900</v>
      </c>
      <c r="Q15" s="16" t="s">
        <v>1072</v>
      </c>
      <c r="R15" s="41" t="s">
        <v>32</v>
      </c>
      <c r="S15" s="58">
        <v>1050</v>
      </c>
      <c r="T15" s="16" t="s">
        <v>981</v>
      </c>
      <c r="U15" s="41" t="s">
        <v>33</v>
      </c>
      <c r="W15" s="2"/>
      <c r="X15" s="2"/>
    </row>
    <row r="16" spans="1:24" ht="12.6" customHeight="1">
      <c r="A16" s="60" t="s">
        <v>38</v>
      </c>
      <c r="B16" s="49" t="s">
        <v>641</v>
      </c>
      <c r="C16" s="27">
        <v>24</v>
      </c>
      <c r="D16" s="64">
        <v>3.5</v>
      </c>
      <c r="E16" s="43">
        <f t="shared" si="0"/>
        <v>38.400000000000006</v>
      </c>
      <c r="F16" s="27" t="s">
        <v>740</v>
      </c>
      <c r="G16" s="50">
        <v>0.21</v>
      </c>
      <c r="H16" s="31">
        <v>0.78</v>
      </c>
      <c r="I16" s="27">
        <v>106.9</v>
      </c>
      <c r="J16" s="27">
        <v>88.5</v>
      </c>
      <c r="K16" s="64">
        <v>82</v>
      </c>
      <c r="L16" s="52">
        <f>AVERAGE(1475,1249,1287,1200,1442,1419,1100,1550,1200,1341,1150,1200)</f>
        <v>1301.0833333333333</v>
      </c>
      <c r="M16" s="155" t="s">
        <v>1045</v>
      </c>
      <c r="N16" s="52">
        <f>AVERAGE(1536,1599,1427,1700,1660,1651,1726,1755,1598,1606)</f>
        <v>1625.8</v>
      </c>
      <c r="O16" s="155" t="s">
        <v>1072</v>
      </c>
      <c r="P16" s="52">
        <v>1440</v>
      </c>
      <c r="Q16" s="61" t="s">
        <v>1072</v>
      </c>
      <c r="R16" s="43" t="s">
        <v>906</v>
      </c>
      <c r="S16" s="52">
        <v>1742</v>
      </c>
      <c r="T16" s="61" t="s">
        <v>1072</v>
      </c>
      <c r="U16" s="43" t="s">
        <v>30</v>
      </c>
    </row>
    <row r="17" spans="1:24" ht="12.6" customHeight="1">
      <c r="A17" s="66" t="s">
        <v>38</v>
      </c>
      <c r="B17" s="37" t="s">
        <v>642</v>
      </c>
      <c r="C17" s="2">
        <v>28</v>
      </c>
      <c r="D17" s="3">
        <v>1.8</v>
      </c>
      <c r="E17" s="41">
        <f t="shared" si="0"/>
        <v>44.800000000000004</v>
      </c>
      <c r="F17" s="2" t="s">
        <v>39</v>
      </c>
      <c r="G17" s="68">
        <v>0.25</v>
      </c>
      <c r="H17" s="69">
        <v>0.31</v>
      </c>
      <c r="I17" s="2">
        <v>55.6</v>
      </c>
      <c r="J17" s="2">
        <v>73.599999999999994</v>
      </c>
      <c r="K17" s="3">
        <v>58</v>
      </c>
      <c r="L17" s="58">
        <f>AVERAGE(225,258,285,262,274,270,222,251,256)</f>
        <v>255.88888888888889</v>
      </c>
      <c r="M17" s="16" t="s">
        <v>1072</v>
      </c>
      <c r="N17" s="58">
        <f>AVERAGE(305,320,310,350,360,330,360,348)</f>
        <v>335.375</v>
      </c>
      <c r="O17" s="16" t="s">
        <v>1072</v>
      </c>
      <c r="P17" s="58">
        <v>390</v>
      </c>
      <c r="Q17" s="16" t="s">
        <v>1072</v>
      </c>
      <c r="R17" s="41" t="s">
        <v>33</v>
      </c>
      <c r="S17" s="58">
        <v>390</v>
      </c>
      <c r="T17" s="16" t="s">
        <v>1072</v>
      </c>
      <c r="U17" s="41" t="s">
        <v>33</v>
      </c>
    </row>
    <row r="18" spans="1:24" ht="12.6" customHeight="1">
      <c r="A18" s="66" t="s">
        <v>38</v>
      </c>
      <c r="B18" s="37" t="s">
        <v>643</v>
      </c>
      <c r="C18" s="2">
        <v>28</v>
      </c>
      <c r="D18" s="3">
        <v>2.8</v>
      </c>
      <c r="E18" s="41">
        <f t="shared" si="0"/>
        <v>44.800000000000004</v>
      </c>
      <c r="F18" s="2" t="s">
        <v>39</v>
      </c>
      <c r="G18" s="68">
        <v>0.3</v>
      </c>
      <c r="H18" s="69">
        <v>0.185</v>
      </c>
      <c r="I18" s="2">
        <v>42.5</v>
      </c>
      <c r="J18" s="2">
        <v>67.400000000000006</v>
      </c>
      <c r="K18" s="3">
        <v>52</v>
      </c>
      <c r="L18" s="58">
        <f>AVERAGE(103,100,120,149,129,132,130,125)</f>
        <v>123.5</v>
      </c>
      <c r="M18" s="160" t="s">
        <v>1072</v>
      </c>
      <c r="N18" s="58">
        <f>AVERAGE(164,123,150,193,175,167,183)</f>
        <v>165</v>
      </c>
      <c r="O18" s="16" t="s">
        <v>1072</v>
      </c>
      <c r="P18" s="58">
        <f>199*CA.US</f>
        <v>139.29999999999998</v>
      </c>
      <c r="Q18" s="16" t="s">
        <v>1072</v>
      </c>
      <c r="R18" s="41" t="s">
        <v>758</v>
      </c>
      <c r="S18" s="58">
        <v>145</v>
      </c>
      <c r="T18" s="16" t="s">
        <v>1072</v>
      </c>
      <c r="U18" s="41" t="s">
        <v>28</v>
      </c>
    </row>
    <row r="19" spans="1:24" ht="12.6" customHeight="1">
      <c r="A19" s="66" t="s">
        <v>38</v>
      </c>
      <c r="B19" s="37" t="s">
        <v>706</v>
      </c>
      <c r="C19" s="2">
        <v>28</v>
      </c>
      <c r="D19" s="3">
        <v>2.8</v>
      </c>
      <c r="E19" s="41">
        <f t="shared" si="0"/>
        <v>44.800000000000004</v>
      </c>
      <c r="F19" s="2" t="s">
        <v>39</v>
      </c>
      <c r="G19" s="68">
        <v>0.23</v>
      </c>
      <c r="H19" s="69">
        <v>0.26100000000000001</v>
      </c>
      <c r="I19" s="2">
        <v>51.3</v>
      </c>
      <c r="J19" s="2">
        <v>68.3</v>
      </c>
      <c r="K19" s="3">
        <v>58</v>
      </c>
      <c r="L19" s="58">
        <f>AVERAGE(291,305,299,343,293,248,305)</f>
        <v>297.71428571428572</v>
      </c>
      <c r="M19" s="16" t="s">
        <v>1072</v>
      </c>
      <c r="N19" s="58">
        <f>AVERAGE(369,369,400,370,448,470,400,390,404)</f>
        <v>402.22222222222223</v>
      </c>
      <c r="O19" s="16" t="s">
        <v>1047</v>
      </c>
      <c r="P19" s="58">
        <v>340</v>
      </c>
      <c r="Q19" s="16" t="s">
        <v>1072</v>
      </c>
      <c r="R19" s="41" t="s">
        <v>906</v>
      </c>
      <c r="S19" s="58">
        <v>425</v>
      </c>
      <c r="T19" s="16" t="s">
        <v>1045</v>
      </c>
      <c r="U19" s="41" t="s">
        <v>28</v>
      </c>
      <c r="W19" s="3"/>
      <c r="X19" s="17"/>
    </row>
    <row r="20" spans="1:24" ht="12.6" customHeight="1">
      <c r="A20" s="66" t="s">
        <v>38</v>
      </c>
      <c r="B20" s="37" t="s">
        <v>644</v>
      </c>
      <c r="C20" s="2">
        <v>35</v>
      </c>
      <c r="D20" s="3">
        <v>1.4</v>
      </c>
      <c r="E20" s="41">
        <f t="shared" ref="E20" si="1">1.6*C20</f>
        <v>56</v>
      </c>
      <c r="F20" s="2" t="s">
        <v>39</v>
      </c>
      <c r="G20" s="68">
        <v>0.3</v>
      </c>
      <c r="H20" s="69">
        <v>0.57999999999999996</v>
      </c>
      <c r="I20" s="2">
        <v>86</v>
      </c>
      <c r="J20" s="2">
        <v>79</v>
      </c>
      <c r="K20" s="3">
        <v>72</v>
      </c>
      <c r="L20" s="58">
        <f>AVERAGE(690,630,771,725,850,757,710,744,760,750)</f>
        <v>738.7</v>
      </c>
      <c r="M20" s="160" t="s">
        <v>1072</v>
      </c>
      <c r="N20" s="58">
        <f>AVERAGE(950,900,1000,1000,900,999)</f>
        <v>958.16666666666663</v>
      </c>
      <c r="O20" s="16" t="s">
        <v>1072</v>
      </c>
      <c r="P20" s="58">
        <v>900</v>
      </c>
      <c r="Q20" s="16" t="s">
        <v>1072</v>
      </c>
      <c r="R20" s="41" t="s">
        <v>33</v>
      </c>
      <c r="S20" s="58">
        <v>1000</v>
      </c>
      <c r="T20" s="16" t="s">
        <v>1072</v>
      </c>
      <c r="U20" s="41" t="s">
        <v>30</v>
      </c>
    </row>
    <row r="21" spans="1:24" ht="12.6" customHeight="1">
      <c r="A21" s="66" t="s">
        <v>38</v>
      </c>
      <c r="B21" s="37" t="s">
        <v>1028</v>
      </c>
      <c r="C21" s="2">
        <v>35</v>
      </c>
      <c r="D21" s="3">
        <v>1.4</v>
      </c>
      <c r="E21" s="41">
        <f t="shared" si="0"/>
        <v>56</v>
      </c>
      <c r="F21" s="2" t="s">
        <v>39</v>
      </c>
      <c r="G21" s="68">
        <v>0.28000000000000003</v>
      </c>
      <c r="H21" s="69">
        <v>0.76</v>
      </c>
      <c r="I21" s="2">
        <v>105.5</v>
      </c>
      <c r="J21" s="2">
        <v>80.400000000000006</v>
      </c>
      <c r="K21" s="3">
        <v>72</v>
      </c>
      <c r="L21" s="58" t="s">
        <v>16</v>
      </c>
      <c r="M21" s="160" t="s">
        <v>16</v>
      </c>
      <c r="N21" s="147">
        <f>AVERAGE(1359)</f>
        <v>1359</v>
      </c>
      <c r="O21" s="16" t="s">
        <v>1072</v>
      </c>
      <c r="P21" s="58" t="s">
        <v>16</v>
      </c>
      <c r="Q21" s="16" t="s">
        <v>16</v>
      </c>
      <c r="R21" s="41" t="s">
        <v>16</v>
      </c>
      <c r="S21" s="147">
        <v>1800</v>
      </c>
      <c r="T21" s="16" t="s">
        <v>1027</v>
      </c>
      <c r="U21" s="41" t="s">
        <v>32</v>
      </c>
    </row>
    <row r="22" spans="1:24" ht="12.6" customHeight="1">
      <c r="A22" s="66" t="s">
        <v>38</v>
      </c>
      <c r="B22" s="37" t="s">
        <v>330</v>
      </c>
      <c r="C22" s="2">
        <v>35</v>
      </c>
      <c r="D22" s="3">
        <v>2</v>
      </c>
      <c r="E22" s="41">
        <f t="shared" ref="E22" si="2">1.6*C22</f>
        <v>56</v>
      </c>
      <c r="F22" s="2" t="s">
        <v>39</v>
      </c>
      <c r="G22" s="68">
        <v>0.25</v>
      </c>
      <c r="H22" s="69">
        <v>0.21</v>
      </c>
      <c r="I22" s="2">
        <v>42.5</v>
      </c>
      <c r="J22" s="2">
        <v>67.400000000000006</v>
      </c>
      <c r="K22" s="3">
        <v>52</v>
      </c>
      <c r="L22" s="58">
        <f>AVERAGE(145,173,192,190,185,178,230,187,205)</f>
        <v>187.22222222222223</v>
      </c>
      <c r="M22" s="160" t="s">
        <v>1072</v>
      </c>
      <c r="N22" s="58">
        <f>AVERAGE(275,260,230,265,290,260,290,324,252)</f>
        <v>271.77777777777777</v>
      </c>
      <c r="O22" s="16" t="s">
        <v>1072</v>
      </c>
      <c r="P22" s="58">
        <v>280</v>
      </c>
      <c r="Q22" s="16" t="s">
        <v>1072</v>
      </c>
      <c r="R22" s="41" t="s">
        <v>30</v>
      </c>
      <c r="S22" s="58">
        <v>275</v>
      </c>
      <c r="T22" s="16" t="s">
        <v>1045</v>
      </c>
      <c r="U22" s="41" t="s">
        <v>29</v>
      </c>
    </row>
    <row r="23" spans="1:24" ht="12.6" customHeight="1">
      <c r="A23" s="60" t="s">
        <v>38</v>
      </c>
      <c r="B23" s="49" t="s">
        <v>722</v>
      </c>
      <c r="C23" s="27">
        <v>35</v>
      </c>
      <c r="D23" s="64">
        <v>2</v>
      </c>
      <c r="E23" s="43">
        <f t="shared" si="0"/>
        <v>56</v>
      </c>
      <c r="F23" s="27" t="s">
        <v>39</v>
      </c>
      <c r="G23" s="50">
        <v>0.24</v>
      </c>
      <c r="H23" s="31">
        <v>0.33500000000000002</v>
      </c>
      <c r="I23" s="27">
        <v>63.5</v>
      </c>
      <c r="J23" s="27">
        <v>78.7</v>
      </c>
      <c r="K23" s="64">
        <v>67</v>
      </c>
      <c r="L23" s="52">
        <f>AVERAGE(411,415,450,450,303,405,430,417,449,455)</f>
        <v>418.5</v>
      </c>
      <c r="M23" s="155" t="s">
        <v>1072</v>
      </c>
      <c r="N23" s="52">
        <f>AVERAGE(495,487,499,488,475,454,479,514,510,510)</f>
        <v>491.1</v>
      </c>
      <c r="O23" s="155" t="s">
        <v>1072</v>
      </c>
      <c r="P23" s="52" t="s">
        <v>16</v>
      </c>
      <c r="Q23" s="61" t="s">
        <v>16</v>
      </c>
      <c r="R23" s="43" t="s">
        <v>16</v>
      </c>
      <c r="S23" s="52">
        <v>500</v>
      </c>
      <c r="T23" s="61" t="s">
        <v>1072</v>
      </c>
      <c r="U23" s="43" t="s">
        <v>30</v>
      </c>
      <c r="W23" s="3"/>
    </row>
    <row r="24" spans="1:24" ht="12.6" customHeight="1">
      <c r="A24" s="66" t="s">
        <v>38</v>
      </c>
      <c r="B24" s="37" t="s">
        <v>707</v>
      </c>
      <c r="C24" s="2">
        <v>40</v>
      </c>
      <c r="D24" s="3">
        <v>2.8</v>
      </c>
      <c r="E24" s="41">
        <f t="shared" si="0"/>
        <v>64</v>
      </c>
      <c r="F24" s="2" t="s">
        <v>39</v>
      </c>
      <c r="G24" s="68">
        <v>0.3</v>
      </c>
      <c r="H24" s="69">
        <v>0.13</v>
      </c>
      <c r="I24" s="2">
        <v>22.9</v>
      </c>
      <c r="J24" s="2">
        <v>68.599999999999994</v>
      </c>
      <c r="K24" s="3">
        <v>52</v>
      </c>
      <c r="L24" s="58">
        <f>AVERAGE(80,87,80,105,106,103,106,104)</f>
        <v>96.375</v>
      </c>
      <c r="M24" s="16" t="s">
        <v>1072</v>
      </c>
      <c r="N24" s="58">
        <f>AVERAGE(100,109,95,97,123,118,127,110,123)</f>
        <v>111.33333333333333</v>
      </c>
      <c r="O24" s="16" t="s">
        <v>1072</v>
      </c>
      <c r="P24" s="58">
        <v>110</v>
      </c>
      <c r="Q24" s="16" t="s">
        <v>1072</v>
      </c>
      <c r="R24" s="41" t="s">
        <v>30</v>
      </c>
      <c r="S24" s="58">
        <v>115</v>
      </c>
      <c r="T24" s="16" t="s">
        <v>1072</v>
      </c>
      <c r="U24" s="41" t="s">
        <v>29</v>
      </c>
      <c r="W24" s="3"/>
      <c r="X24" s="17"/>
    </row>
    <row r="25" spans="1:24" ht="12.6" customHeight="1">
      <c r="A25" s="66" t="s">
        <v>38</v>
      </c>
      <c r="B25" s="37" t="s">
        <v>645</v>
      </c>
      <c r="C25" s="2">
        <v>45</v>
      </c>
      <c r="D25" s="3">
        <v>2.8</v>
      </c>
      <c r="E25" s="41">
        <f t="shared" si="0"/>
        <v>72</v>
      </c>
      <c r="F25" s="2" t="s">
        <v>740</v>
      </c>
      <c r="G25" s="68">
        <v>0.4</v>
      </c>
      <c r="H25" s="69">
        <v>0.64500000000000002</v>
      </c>
      <c r="I25" s="2">
        <v>90.1</v>
      </c>
      <c r="J25" s="2">
        <v>81</v>
      </c>
      <c r="K25" s="3">
        <v>72</v>
      </c>
      <c r="L25" s="58">
        <f>AVERAGE(877,761,747,750,808,730,805,781,722)</f>
        <v>775.66666666666663</v>
      </c>
      <c r="M25" s="160" t="s">
        <v>1072</v>
      </c>
      <c r="N25" s="58">
        <f>AVERAGE(950,850,899,960,937,1045,1081,945,910,901,950)</f>
        <v>948</v>
      </c>
      <c r="O25" s="16" t="s">
        <v>1013</v>
      </c>
      <c r="P25" s="58">
        <v>920</v>
      </c>
      <c r="Q25" s="16" t="s">
        <v>1072</v>
      </c>
      <c r="R25" s="41" t="s">
        <v>30</v>
      </c>
      <c r="S25" s="58">
        <v>1080</v>
      </c>
      <c r="T25" s="16" t="s">
        <v>981</v>
      </c>
      <c r="U25" s="41" t="s">
        <v>30</v>
      </c>
    </row>
    <row r="26" spans="1:24" ht="12.6" customHeight="1">
      <c r="A26" s="66" t="s">
        <v>38</v>
      </c>
      <c r="B26" s="37" t="s">
        <v>646</v>
      </c>
      <c r="C26" s="2">
        <v>50</v>
      </c>
      <c r="D26" s="3">
        <v>1</v>
      </c>
      <c r="E26" s="41">
        <f t="shared" si="0"/>
        <v>80</v>
      </c>
      <c r="F26" s="2" t="s">
        <v>39</v>
      </c>
      <c r="G26" s="68">
        <v>0.6</v>
      </c>
      <c r="H26" s="69">
        <v>0.98499999999999999</v>
      </c>
      <c r="I26" s="2">
        <v>81.5</v>
      </c>
      <c r="J26" s="2">
        <v>91.5</v>
      </c>
      <c r="K26" s="3">
        <v>72</v>
      </c>
      <c r="L26" s="58">
        <f>AVERAGE(3548,,3000,3798,3200,3739,3898,3550,3999,3325,3700)</f>
        <v>3250.6363636363635</v>
      </c>
      <c r="M26" s="160" t="s">
        <v>1072</v>
      </c>
      <c r="N26" s="58">
        <f>AVERAGE(4550,3998,4282,4399,4500,4500,4699,4510,4610)</f>
        <v>4449.7777777777774</v>
      </c>
      <c r="O26" s="16" t="s">
        <v>1072</v>
      </c>
      <c r="P26" s="58">
        <v>3390</v>
      </c>
      <c r="Q26" s="16" t="s">
        <v>870</v>
      </c>
      <c r="R26" s="41" t="s">
        <v>30</v>
      </c>
      <c r="S26" s="58">
        <v>4200</v>
      </c>
      <c r="T26" s="16" t="s">
        <v>772</v>
      </c>
      <c r="U26" s="41" t="s">
        <v>436</v>
      </c>
    </row>
    <row r="27" spans="1:24" ht="12.6" customHeight="1">
      <c r="A27" s="66" t="s">
        <v>38</v>
      </c>
      <c r="B27" s="37" t="s">
        <v>208</v>
      </c>
      <c r="C27" s="2">
        <v>50</v>
      </c>
      <c r="D27" s="3">
        <v>1.2</v>
      </c>
      <c r="E27" s="41">
        <f t="shared" si="0"/>
        <v>80</v>
      </c>
      <c r="F27" s="2" t="s">
        <v>39</v>
      </c>
      <c r="G27" s="68">
        <v>0.45</v>
      </c>
      <c r="H27" s="69">
        <v>0.54500000000000004</v>
      </c>
      <c r="I27" s="2">
        <v>65</v>
      </c>
      <c r="J27" s="2">
        <v>85</v>
      </c>
      <c r="K27" s="3">
        <v>72</v>
      </c>
      <c r="L27" s="58">
        <f>AVERAGE(961,900,920,939,960,1027,940,990,936,960)</f>
        <v>953.3</v>
      </c>
      <c r="M27" s="160" t="s">
        <v>1072</v>
      </c>
      <c r="N27" s="58">
        <f>AVERAGE(1100,1179,1200,1375,1200,1124,1250,1174,1173,1275)</f>
        <v>1205</v>
      </c>
      <c r="O27" s="16" t="s">
        <v>1072</v>
      </c>
      <c r="P27" s="58">
        <v>995</v>
      </c>
      <c r="Q27" s="16" t="s">
        <v>1045</v>
      </c>
      <c r="R27" s="41" t="s">
        <v>29</v>
      </c>
      <c r="S27" s="58">
        <v>1075</v>
      </c>
      <c r="T27" s="16" t="s">
        <v>1072</v>
      </c>
      <c r="U27" s="41" t="s">
        <v>28</v>
      </c>
    </row>
    <row r="28" spans="1:24" ht="12.6" customHeight="1">
      <c r="A28" s="66" t="s">
        <v>38</v>
      </c>
      <c r="B28" s="37" t="s">
        <v>647</v>
      </c>
      <c r="C28" s="2">
        <v>50</v>
      </c>
      <c r="D28" s="3">
        <v>1.4</v>
      </c>
      <c r="E28" s="41">
        <f t="shared" si="0"/>
        <v>80</v>
      </c>
      <c r="F28" s="2" t="s">
        <v>39</v>
      </c>
      <c r="G28" s="68">
        <v>0.45</v>
      </c>
      <c r="H28" s="69">
        <v>0.28999999999999998</v>
      </c>
      <c r="I28" s="2">
        <v>51</v>
      </c>
      <c r="J28" s="2">
        <v>73.8</v>
      </c>
      <c r="K28" s="3">
        <v>58</v>
      </c>
      <c r="L28" s="58">
        <f>AVERAGE(203,225,203,201,223,218,220,236,224)</f>
        <v>217</v>
      </c>
      <c r="M28" s="160" t="s">
        <v>1072</v>
      </c>
      <c r="N28" s="58">
        <f>AVERAGE(259,267,280,250,265,280,255,260,255,275)</f>
        <v>264.60000000000002</v>
      </c>
      <c r="O28" s="16" t="s">
        <v>1072</v>
      </c>
      <c r="P28" s="58">
        <v>234</v>
      </c>
      <c r="Q28" s="16" t="s">
        <v>1072</v>
      </c>
      <c r="R28" s="41" t="s">
        <v>33</v>
      </c>
      <c r="S28" s="58">
        <v>290</v>
      </c>
      <c r="T28" s="16" t="s">
        <v>1072</v>
      </c>
      <c r="U28" s="41" t="s">
        <v>30</v>
      </c>
    </row>
    <row r="29" spans="1:24" ht="12.6" customHeight="1">
      <c r="A29" s="66" t="s">
        <v>38</v>
      </c>
      <c r="B29" s="37" t="s">
        <v>648</v>
      </c>
      <c r="C29" s="2">
        <v>50</v>
      </c>
      <c r="D29" s="3">
        <v>1.8</v>
      </c>
      <c r="E29" s="41">
        <f t="shared" si="0"/>
        <v>80</v>
      </c>
      <c r="F29" s="2" t="s">
        <v>39</v>
      </c>
      <c r="G29" s="68">
        <v>0.45</v>
      </c>
      <c r="H29" s="3">
        <v>0.19</v>
      </c>
      <c r="I29" s="2">
        <v>42.5</v>
      </c>
      <c r="J29" s="2">
        <v>67.400000000000006</v>
      </c>
      <c r="K29" s="3">
        <v>52</v>
      </c>
      <c r="L29" s="58">
        <f>AVERAGE(86,96,108,120,123,102,106,110)</f>
        <v>106.375</v>
      </c>
      <c r="M29" s="160" t="s">
        <v>1072</v>
      </c>
      <c r="N29" s="58">
        <f>AVERAGE(140,150,168,145,131,159,158,145,152,130,138)</f>
        <v>146.90909090909091</v>
      </c>
      <c r="O29" s="16" t="s">
        <v>981</v>
      </c>
      <c r="P29" s="58">
        <f>145*CA.US</f>
        <v>101.5</v>
      </c>
      <c r="Q29" s="16" t="s">
        <v>1045</v>
      </c>
      <c r="R29" s="41" t="s">
        <v>35</v>
      </c>
      <c r="S29" s="2">
        <v>185</v>
      </c>
      <c r="T29" s="16" t="s">
        <v>917</v>
      </c>
      <c r="U29" s="41" t="s">
        <v>33</v>
      </c>
    </row>
    <row r="30" spans="1:24" s="17" customFormat="1" ht="12.6" customHeight="1">
      <c r="A30" s="66" t="s">
        <v>38</v>
      </c>
      <c r="B30" s="37" t="s">
        <v>649</v>
      </c>
      <c r="C30" s="2">
        <v>50</v>
      </c>
      <c r="D30" s="3">
        <v>1.8</v>
      </c>
      <c r="E30" s="41">
        <f>1.6*C30</f>
        <v>80</v>
      </c>
      <c r="F30" s="2" t="s">
        <v>39</v>
      </c>
      <c r="G30" s="68">
        <v>0.45</v>
      </c>
      <c r="H30" s="69">
        <v>0.15</v>
      </c>
      <c r="I30" s="2">
        <v>41</v>
      </c>
      <c r="J30" s="2">
        <v>68.2</v>
      </c>
      <c r="K30" s="3">
        <v>52</v>
      </c>
      <c r="L30" s="58">
        <f>AVERAGE(84,81,66,61,63,66,76,65,74,74)</f>
        <v>71</v>
      </c>
      <c r="M30" s="16" t="s">
        <v>1072</v>
      </c>
      <c r="N30" s="58">
        <f>AVERAGE(80,74,80,120,104,118,108,108,115,105)</f>
        <v>101.2</v>
      </c>
      <c r="O30" s="160" t="s">
        <v>1072</v>
      </c>
      <c r="P30" s="58">
        <v>80</v>
      </c>
      <c r="Q30" s="16" t="s">
        <v>1072</v>
      </c>
      <c r="R30" s="41" t="s">
        <v>30</v>
      </c>
      <c r="S30" s="58">
        <v>90</v>
      </c>
      <c r="T30" s="16" t="s">
        <v>1072</v>
      </c>
      <c r="U30" s="41" t="s">
        <v>583</v>
      </c>
      <c r="W30" s="3"/>
    </row>
    <row r="31" spans="1:24" s="17" customFormat="1" ht="12.6" customHeight="1">
      <c r="A31" s="66" t="s">
        <v>38</v>
      </c>
      <c r="B31" s="37" t="s">
        <v>1012</v>
      </c>
      <c r="C31" s="2">
        <v>50</v>
      </c>
      <c r="D31" s="3">
        <v>1.8</v>
      </c>
      <c r="E31" s="41">
        <f>1.6*C31</f>
        <v>80</v>
      </c>
      <c r="F31" s="2" t="s">
        <v>39</v>
      </c>
      <c r="G31" s="68">
        <v>0.36</v>
      </c>
      <c r="H31" s="69">
        <v>0.16200000000000001</v>
      </c>
      <c r="I31" s="2">
        <v>40.6</v>
      </c>
      <c r="J31" s="2">
        <v>68.599999999999994</v>
      </c>
      <c r="K31" s="3">
        <v>49</v>
      </c>
      <c r="L31" s="58">
        <f>AVERAGE(92,94,99,92,105,103,100)</f>
        <v>97.857142857142861</v>
      </c>
      <c r="M31" s="16" t="s">
        <v>1072</v>
      </c>
      <c r="N31" s="58">
        <f>AVERAGE(99,94,110,108,104)</f>
        <v>103</v>
      </c>
      <c r="O31" s="160" t="s">
        <v>1072</v>
      </c>
      <c r="P31" s="58">
        <f>AVERAGE(0)</f>
        <v>0</v>
      </c>
      <c r="Q31" s="16" t="s">
        <v>16</v>
      </c>
      <c r="R31" s="41" t="s">
        <v>16</v>
      </c>
      <c r="S31" s="147">
        <v>118</v>
      </c>
      <c r="T31" s="16" t="s">
        <v>1045</v>
      </c>
      <c r="U31" s="41" t="s">
        <v>30</v>
      </c>
      <c r="W31" s="3"/>
    </row>
    <row r="32" spans="1:24" ht="12.6" customHeight="1">
      <c r="A32" s="66" t="s">
        <v>38</v>
      </c>
      <c r="B32" s="37" t="s">
        <v>650</v>
      </c>
      <c r="C32" s="2">
        <v>50</v>
      </c>
      <c r="D32" s="3">
        <v>2.5</v>
      </c>
      <c r="E32" s="41">
        <f t="shared" si="0"/>
        <v>80</v>
      </c>
      <c r="F32" s="2" t="s">
        <v>39</v>
      </c>
      <c r="G32" s="68">
        <v>0.23</v>
      </c>
      <c r="H32" s="69">
        <v>0.28000000000000003</v>
      </c>
      <c r="I32" s="2">
        <v>63</v>
      </c>
      <c r="J32" s="2">
        <v>67.599999999999994</v>
      </c>
      <c r="K32" s="3">
        <v>52</v>
      </c>
      <c r="L32" s="58">
        <f>AVERAGE(135,148,133,126,153,125,138,153,144)</f>
        <v>139.44444444444446</v>
      </c>
      <c r="M32" s="16" t="s">
        <v>1072</v>
      </c>
      <c r="N32" s="58">
        <f>AVERAGE(153,179,175,237,175,165)</f>
        <v>180.66666666666666</v>
      </c>
      <c r="O32" s="16" t="s">
        <v>1072</v>
      </c>
      <c r="P32" s="58">
        <v>185</v>
      </c>
      <c r="Q32" s="16" t="s">
        <v>1072</v>
      </c>
      <c r="R32" s="41" t="s">
        <v>28</v>
      </c>
      <c r="S32" s="58">
        <v>205</v>
      </c>
      <c r="T32" s="16" t="s">
        <v>1072</v>
      </c>
      <c r="U32" s="41" t="s">
        <v>583</v>
      </c>
    </row>
    <row r="33" spans="1:23" s="17" customFormat="1" ht="12.6" customHeight="1">
      <c r="A33" s="66" t="s">
        <v>38</v>
      </c>
      <c r="B33" s="37" t="s">
        <v>41</v>
      </c>
      <c r="C33" s="2" t="s">
        <v>31</v>
      </c>
      <c r="D33" s="3" t="s">
        <v>31</v>
      </c>
      <c r="E33" s="41" t="s">
        <v>31</v>
      </c>
      <c r="F33" s="2" t="s">
        <v>39</v>
      </c>
      <c r="G33" s="68" t="s">
        <v>31</v>
      </c>
      <c r="H33" s="69">
        <v>0.16</v>
      </c>
      <c r="I33" s="2">
        <v>34.9</v>
      </c>
      <c r="J33" s="2">
        <v>67.599999999999994</v>
      </c>
      <c r="K33" s="3" t="s">
        <v>31</v>
      </c>
      <c r="L33" s="58">
        <f>AVERAGE(115,115,105,108,120,120,,100)</f>
        <v>97.875</v>
      </c>
      <c r="M33" s="16" t="s">
        <v>1072</v>
      </c>
      <c r="N33" s="58">
        <f>AVERAGE(120,150,115,150,148,168)</f>
        <v>141.83333333333334</v>
      </c>
      <c r="O33" s="16" t="s">
        <v>1072</v>
      </c>
      <c r="P33" s="58">
        <v>220</v>
      </c>
      <c r="Q33" s="16" t="s">
        <v>579</v>
      </c>
      <c r="R33" s="41" t="s">
        <v>30</v>
      </c>
      <c r="S33" s="58" t="s">
        <v>16</v>
      </c>
      <c r="T33" s="16" t="s">
        <v>16</v>
      </c>
      <c r="U33" s="41" t="s">
        <v>16</v>
      </c>
      <c r="W33" s="3"/>
    </row>
    <row r="34" spans="1:23" ht="12.6" customHeight="1">
      <c r="A34" s="60" t="s">
        <v>38</v>
      </c>
      <c r="B34" s="49" t="s">
        <v>42</v>
      </c>
      <c r="C34" s="27">
        <v>65</v>
      </c>
      <c r="D34" s="64">
        <v>2.8</v>
      </c>
      <c r="E34" s="43">
        <f t="shared" ref="E34:E69" si="3">1.6*C34</f>
        <v>104</v>
      </c>
      <c r="F34" s="27" t="s">
        <v>949</v>
      </c>
      <c r="G34" s="50">
        <v>0.24</v>
      </c>
      <c r="H34" s="31">
        <v>0.73</v>
      </c>
      <c r="I34" s="27">
        <v>98</v>
      </c>
      <c r="J34" s="27">
        <v>61</v>
      </c>
      <c r="K34" s="64">
        <v>58</v>
      </c>
      <c r="L34" s="52">
        <f>AVERAGE(600,624,613,622,698,700,700,670,743,610,612)</f>
        <v>653.81818181818187</v>
      </c>
      <c r="M34" s="155" t="s">
        <v>1072</v>
      </c>
      <c r="N34" s="52">
        <f>AVERAGE(800,808,800,750,800,869,775,790,760,787,715,850)</f>
        <v>792</v>
      </c>
      <c r="O34" s="61" t="s">
        <v>1072</v>
      </c>
      <c r="P34" s="52">
        <f>900*CA.US</f>
        <v>630</v>
      </c>
      <c r="Q34" s="61" t="s">
        <v>1045</v>
      </c>
      <c r="R34" s="43" t="s">
        <v>1037</v>
      </c>
      <c r="S34" s="52">
        <v>850</v>
      </c>
      <c r="T34" s="61" t="s">
        <v>981</v>
      </c>
      <c r="U34" s="43" t="s">
        <v>30</v>
      </c>
    </row>
    <row r="35" spans="1:23" ht="12.6" customHeight="1">
      <c r="A35" s="66" t="s">
        <v>38</v>
      </c>
      <c r="B35" s="37" t="s">
        <v>651</v>
      </c>
      <c r="C35" s="2">
        <v>85</v>
      </c>
      <c r="D35" s="3">
        <v>1.2</v>
      </c>
      <c r="E35" s="41">
        <f t="shared" si="3"/>
        <v>136</v>
      </c>
      <c r="F35" s="2" t="s">
        <v>39</v>
      </c>
      <c r="G35" s="68">
        <v>0.95</v>
      </c>
      <c r="H35" s="69">
        <v>1.0249999999999999</v>
      </c>
      <c r="I35" s="2">
        <v>84</v>
      </c>
      <c r="J35" s="2">
        <v>91.5</v>
      </c>
      <c r="K35" s="3">
        <v>72</v>
      </c>
      <c r="L35" s="58">
        <f>AVERAGE(1024,1150,1038,1174,1015,995,1105,1035,1150,1026)</f>
        <v>1071.2</v>
      </c>
      <c r="M35" s="160" t="s">
        <v>1072</v>
      </c>
      <c r="N35" s="58">
        <f>AVERAGE(1285,1103,1449,1300,1325,1400,1300,1200,1199)</f>
        <v>1284.5555555555557</v>
      </c>
      <c r="O35" s="16" t="s">
        <v>1072</v>
      </c>
      <c r="P35" s="58">
        <v>1360</v>
      </c>
      <c r="Q35" s="16" t="s">
        <v>1072</v>
      </c>
      <c r="R35" s="41" t="s">
        <v>30</v>
      </c>
      <c r="S35" s="58">
        <v>1195</v>
      </c>
      <c r="T35" s="16" t="s">
        <v>1045</v>
      </c>
      <c r="U35" s="41" t="s">
        <v>29</v>
      </c>
    </row>
    <row r="36" spans="1:23" ht="12.6" customHeight="1">
      <c r="A36" s="66" t="s">
        <v>38</v>
      </c>
      <c r="B36" s="37" t="s">
        <v>652</v>
      </c>
      <c r="C36" s="2">
        <v>85</v>
      </c>
      <c r="D36" s="3">
        <v>1.2</v>
      </c>
      <c r="E36" s="41">
        <f t="shared" si="3"/>
        <v>136</v>
      </c>
      <c r="F36" s="2" t="s">
        <v>39</v>
      </c>
      <c r="G36" s="68">
        <v>0.95</v>
      </c>
      <c r="H36" s="69">
        <v>1.0249999999999999</v>
      </c>
      <c r="I36" s="2">
        <v>84</v>
      </c>
      <c r="J36" s="2">
        <v>91.5</v>
      </c>
      <c r="K36" s="3">
        <v>72</v>
      </c>
      <c r="L36" s="58">
        <f>AVERAGE(1233,1300,1323,1291,1301,1336,1425,1323,1400,1300)</f>
        <v>1323.2</v>
      </c>
      <c r="M36" s="16" t="s">
        <v>1072</v>
      </c>
      <c r="N36" s="58">
        <f>AVERAGE(1500,1500,1525,1545,1651,1675,1575,1525)</f>
        <v>1562</v>
      </c>
      <c r="O36" s="160" t="s">
        <v>1072</v>
      </c>
      <c r="P36" s="58">
        <v>1640</v>
      </c>
      <c r="Q36" s="16" t="s">
        <v>1072</v>
      </c>
      <c r="R36" s="41" t="s">
        <v>906</v>
      </c>
      <c r="S36" s="58">
        <v>1595</v>
      </c>
      <c r="T36" s="16" t="s">
        <v>1072</v>
      </c>
      <c r="U36" s="41" t="s">
        <v>28</v>
      </c>
    </row>
    <row r="37" spans="1:23" ht="12.6" customHeight="1">
      <c r="A37" s="66" t="s">
        <v>38</v>
      </c>
      <c r="B37" s="37" t="s">
        <v>995</v>
      </c>
      <c r="C37" s="2">
        <v>85</v>
      </c>
      <c r="D37" s="3">
        <v>1.8</v>
      </c>
      <c r="E37" s="41">
        <f t="shared" si="3"/>
        <v>136</v>
      </c>
      <c r="F37" s="2" t="s">
        <v>39</v>
      </c>
      <c r="G37" s="68">
        <v>0.85</v>
      </c>
      <c r="H37" s="69">
        <v>0.42499999999999999</v>
      </c>
      <c r="I37" s="2">
        <v>71.5</v>
      </c>
      <c r="J37" s="2">
        <v>75</v>
      </c>
      <c r="K37" s="3">
        <v>58</v>
      </c>
      <c r="L37" s="58">
        <f>AVERAGE(265,250,275,240,252,251,260,275)</f>
        <v>258.5</v>
      </c>
      <c r="M37" s="16" t="s">
        <v>1072</v>
      </c>
      <c r="N37" s="58">
        <f>AVERAGE(325,286,310,301,289,320,305,290,310,293)</f>
        <v>302.89999999999998</v>
      </c>
      <c r="O37" s="16" t="s">
        <v>1072</v>
      </c>
      <c r="P37" s="58">
        <v>280</v>
      </c>
      <c r="Q37" s="16" t="s">
        <v>1045</v>
      </c>
      <c r="R37" s="41" t="s">
        <v>33</v>
      </c>
      <c r="S37" s="58">
        <v>328</v>
      </c>
      <c r="T37" s="16" t="s">
        <v>1072</v>
      </c>
      <c r="U37" s="41" t="s">
        <v>30</v>
      </c>
    </row>
    <row r="38" spans="1:23" ht="12.6" customHeight="1">
      <c r="A38" s="66" t="s">
        <v>38</v>
      </c>
      <c r="B38" s="37" t="s">
        <v>653</v>
      </c>
      <c r="C38" s="2">
        <v>90</v>
      </c>
      <c r="D38" s="3">
        <v>2.8</v>
      </c>
      <c r="E38" s="41">
        <f t="shared" si="3"/>
        <v>144</v>
      </c>
      <c r="F38" s="2" t="s">
        <v>740</v>
      </c>
      <c r="G38" s="68">
        <v>0.4</v>
      </c>
      <c r="H38" s="69">
        <v>0.56499999999999995</v>
      </c>
      <c r="I38" s="2">
        <v>88</v>
      </c>
      <c r="J38" s="2">
        <v>73.599999999999994</v>
      </c>
      <c r="K38" s="3">
        <v>58</v>
      </c>
      <c r="L38" s="58">
        <f>AVERAGE(715,666,699,722,650,670,689,715,610)</f>
        <v>681.77777777777783</v>
      </c>
      <c r="M38" s="160" t="s">
        <v>1072</v>
      </c>
      <c r="N38" s="58">
        <f>AVERAGE(932,879,986,910,885,887,1000,792,899,885)</f>
        <v>905.5</v>
      </c>
      <c r="O38" s="16" t="s">
        <v>1072</v>
      </c>
      <c r="P38" s="58">
        <v>980</v>
      </c>
      <c r="Q38" s="16" t="s">
        <v>1072</v>
      </c>
      <c r="R38" s="41" t="s">
        <v>32</v>
      </c>
      <c r="S38" s="58">
        <v>1035</v>
      </c>
      <c r="T38" s="16" t="s">
        <v>1072</v>
      </c>
      <c r="U38" s="41" t="s">
        <v>30</v>
      </c>
    </row>
    <row r="39" spans="1:23" ht="12.6" customHeight="1">
      <c r="A39" s="66" t="s">
        <v>38</v>
      </c>
      <c r="B39" s="37" t="s">
        <v>654</v>
      </c>
      <c r="C39" s="2">
        <v>100</v>
      </c>
      <c r="D39" s="3">
        <v>2</v>
      </c>
      <c r="E39" s="41">
        <f t="shared" si="3"/>
        <v>160</v>
      </c>
      <c r="F39" s="2" t="s">
        <v>39</v>
      </c>
      <c r="G39" s="68">
        <v>0.9</v>
      </c>
      <c r="H39" s="69">
        <v>0.46</v>
      </c>
      <c r="I39" s="2">
        <v>73.5</v>
      </c>
      <c r="J39" s="2">
        <v>75</v>
      </c>
      <c r="K39" s="3">
        <v>58</v>
      </c>
      <c r="L39" s="58">
        <f>AVERAGE(300,276,255,273,260,249,279,285,293,287,277)</f>
        <v>275.81818181818181</v>
      </c>
      <c r="M39" s="16" t="s">
        <v>1072</v>
      </c>
      <c r="N39" s="58">
        <f>AVERAGE(309,284,306,309,340,355,345,353)</f>
        <v>325.125</v>
      </c>
      <c r="O39" s="16" t="s">
        <v>1072</v>
      </c>
      <c r="P39" s="58">
        <v>340</v>
      </c>
      <c r="Q39" s="16" t="s">
        <v>1072</v>
      </c>
      <c r="R39" s="41" t="s">
        <v>906</v>
      </c>
      <c r="S39" s="58">
        <v>325</v>
      </c>
      <c r="T39" s="16" t="s">
        <v>1072</v>
      </c>
      <c r="U39" s="41" t="s">
        <v>28</v>
      </c>
    </row>
    <row r="40" spans="1:23" ht="12.6" customHeight="1">
      <c r="A40" s="66" t="s">
        <v>38</v>
      </c>
      <c r="B40" s="37" t="s">
        <v>655</v>
      </c>
      <c r="C40" s="2">
        <v>100</v>
      </c>
      <c r="D40" s="3">
        <v>2.8</v>
      </c>
      <c r="E40" s="41">
        <f t="shared" si="3"/>
        <v>160</v>
      </c>
      <c r="F40" s="2" t="s">
        <v>39</v>
      </c>
      <c r="G40" s="68">
        <v>0.31</v>
      </c>
      <c r="H40" s="69">
        <v>0.6</v>
      </c>
      <c r="I40" s="2">
        <v>119</v>
      </c>
      <c r="J40" s="2">
        <v>79</v>
      </c>
      <c r="K40" s="3">
        <v>58</v>
      </c>
      <c r="L40" s="58">
        <f>AVERAGE(230,210,200,160,195,195,205,203,210,219)</f>
        <v>202.7</v>
      </c>
      <c r="M40" s="16" t="s">
        <v>1072</v>
      </c>
      <c r="N40" s="58">
        <f>AVERAGE(280,220,269,225,317,337,381,441,350,380)</f>
        <v>320</v>
      </c>
      <c r="O40" s="16" t="s">
        <v>1072</v>
      </c>
      <c r="P40" s="58">
        <v>367</v>
      </c>
      <c r="Q40" s="16" t="s">
        <v>1072</v>
      </c>
      <c r="R40" s="41" t="s">
        <v>32</v>
      </c>
      <c r="S40" s="58">
        <v>395</v>
      </c>
      <c r="T40" s="16" t="s">
        <v>878</v>
      </c>
      <c r="U40" s="41" t="s">
        <v>29</v>
      </c>
    </row>
    <row r="41" spans="1:23" ht="12.6" customHeight="1">
      <c r="A41" s="66" t="s">
        <v>38</v>
      </c>
      <c r="B41" s="37" t="s">
        <v>656</v>
      </c>
      <c r="C41" s="2">
        <v>100</v>
      </c>
      <c r="D41" s="3">
        <v>2.8</v>
      </c>
      <c r="E41" s="41">
        <f t="shared" si="3"/>
        <v>160</v>
      </c>
      <c r="F41" s="2" t="s">
        <v>39</v>
      </c>
      <c r="G41" s="68">
        <v>0.31</v>
      </c>
      <c r="H41" s="69">
        <v>0.6</v>
      </c>
      <c r="I41" s="2">
        <v>119</v>
      </c>
      <c r="J41" s="2">
        <v>79</v>
      </c>
      <c r="K41" s="3">
        <v>58</v>
      </c>
      <c r="L41" s="58">
        <f>AVERAGE(235,276,271,255,243,299,245,279,282,293)</f>
        <v>267.8</v>
      </c>
      <c r="M41" s="160" t="s">
        <v>1072</v>
      </c>
      <c r="N41" s="58">
        <f>AVERAGE(356,360,300,340,361,410,368,365)</f>
        <v>357.5</v>
      </c>
      <c r="O41" s="16" t="s">
        <v>1072</v>
      </c>
      <c r="P41" s="58">
        <v>367</v>
      </c>
      <c r="Q41" s="16" t="s">
        <v>1072</v>
      </c>
      <c r="R41" s="41" t="s">
        <v>30</v>
      </c>
      <c r="S41" s="58">
        <v>420</v>
      </c>
      <c r="T41" s="16" t="s">
        <v>1072</v>
      </c>
      <c r="U41" s="41" t="s">
        <v>30</v>
      </c>
    </row>
    <row r="42" spans="1:23" ht="12.6" customHeight="1">
      <c r="A42" s="60" t="s">
        <v>38</v>
      </c>
      <c r="B42" s="49" t="s">
        <v>657</v>
      </c>
      <c r="C42" s="27">
        <v>100</v>
      </c>
      <c r="D42" s="64">
        <v>2.8</v>
      </c>
      <c r="E42" s="43">
        <f t="shared" si="3"/>
        <v>160</v>
      </c>
      <c r="F42" s="27" t="s">
        <v>39</v>
      </c>
      <c r="G42" s="50">
        <v>0.3</v>
      </c>
      <c r="H42" s="31">
        <v>0.625</v>
      </c>
      <c r="I42" s="27">
        <v>123</v>
      </c>
      <c r="J42" s="27">
        <v>77.7</v>
      </c>
      <c r="K42" s="64">
        <v>67</v>
      </c>
      <c r="L42" s="52">
        <f>AVERAGE(640,645,611,625,610,580,625,583,665)</f>
        <v>620.44444444444446</v>
      </c>
      <c r="M42" s="155" t="s">
        <v>1072</v>
      </c>
      <c r="N42" s="52">
        <f>AVERAGE(717,705,800,660,790,810,790,753,775)</f>
        <v>755.55555555555554</v>
      </c>
      <c r="O42" s="155" t="s">
        <v>1072</v>
      </c>
      <c r="P42" s="52">
        <v>720</v>
      </c>
      <c r="Q42" s="61" t="s">
        <v>1072</v>
      </c>
      <c r="R42" s="43" t="s">
        <v>906</v>
      </c>
      <c r="S42" s="52">
        <v>729</v>
      </c>
      <c r="T42" s="61" t="s">
        <v>1072</v>
      </c>
      <c r="U42" s="43" t="s">
        <v>30</v>
      </c>
    </row>
    <row r="43" spans="1:23" ht="12.6" customHeight="1">
      <c r="A43" s="66" t="s">
        <v>38</v>
      </c>
      <c r="B43" s="37" t="s">
        <v>581</v>
      </c>
      <c r="C43" s="2">
        <v>135</v>
      </c>
      <c r="D43" s="3">
        <v>2</v>
      </c>
      <c r="E43" s="41">
        <f t="shared" si="3"/>
        <v>216</v>
      </c>
      <c r="F43" s="2" t="s">
        <v>39</v>
      </c>
      <c r="G43" s="68">
        <v>0.9</v>
      </c>
      <c r="H43" s="69">
        <v>0.75</v>
      </c>
      <c r="I43" s="2">
        <v>112</v>
      </c>
      <c r="J43" s="2">
        <v>82.5</v>
      </c>
      <c r="K43" s="3">
        <v>72</v>
      </c>
      <c r="L43" s="58">
        <f>AVERAGE(678,690,616,636,685,700,645,740,679,723)</f>
        <v>679.2</v>
      </c>
      <c r="M43" s="160" t="s">
        <v>1072</v>
      </c>
      <c r="N43" s="58">
        <f>AVERAGE(780,800,755,805,760,747,799,825,770,794)</f>
        <v>783.5</v>
      </c>
      <c r="O43" s="16" t="s">
        <v>1072</v>
      </c>
      <c r="P43" s="58">
        <v>822</v>
      </c>
      <c r="Q43" s="16" t="s">
        <v>981</v>
      </c>
      <c r="R43" s="41" t="s">
        <v>30</v>
      </c>
      <c r="S43" s="58">
        <v>825</v>
      </c>
      <c r="T43" s="16" t="s">
        <v>1072</v>
      </c>
      <c r="U43" s="41" t="s">
        <v>29</v>
      </c>
    </row>
    <row r="44" spans="1:23" s="17" customFormat="1" ht="12.6" customHeight="1">
      <c r="A44" s="66" t="s">
        <v>38</v>
      </c>
      <c r="B44" s="37" t="s">
        <v>658</v>
      </c>
      <c r="C44" s="2">
        <v>135</v>
      </c>
      <c r="D44" s="3">
        <v>2.8</v>
      </c>
      <c r="E44" s="41">
        <f t="shared" si="3"/>
        <v>216</v>
      </c>
      <c r="F44" s="2" t="s">
        <v>39</v>
      </c>
      <c r="G44" s="68">
        <v>1.3</v>
      </c>
      <c r="H44" s="69">
        <v>0.39</v>
      </c>
      <c r="I44" s="2">
        <v>98.4</v>
      </c>
      <c r="J44" s="2">
        <v>69.2</v>
      </c>
      <c r="K44" s="3">
        <v>52</v>
      </c>
      <c r="L44" s="58">
        <f>AVERAGE(129,145,154,160,155,139,157,150,169)</f>
        <v>150.88888888888889</v>
      </c>
      <c r="M44" s="16" t="s">
        <v>1072</v>
      </c>
      <c r="N44" s="58">
        <f>AVERAGE(200,218,185,265,173,199,184,225,250)</f>
        <v>211</v>
      </c>
      <c r="O44" s="160" t="s">
        <v>1072</v>
      </c>
      <c r="P44" s="58">
        <v>248</v>
      </c>
      <c r="Q44" s="16" t="s">
        <v>917</v>
      </c>
      <c r="R44" s="41" t="s">
        <v>30</v>
      </c>
      <c r="S44" s="58">
        <v>300</v>
      </c>
      <c r="T44" s="16" t="s">
        <v>1072</v>
      </c>
      <c r="U44" s="41" t="s">
        <v>30</v>
      </c>
      <c r="W44" s="3"/>
    </row>
    <row r="45" spans="1:23" ht="12.6" customHeight="1">
      <c r="A45" s="60" t="s">
        <v>38</v>
      </c>
      <c r="B45" s="49" t="s">
        <v>659</v>
      </c>
      <c r="C45" s="27">
        <v>180</v>
      </c>
      <c r="D45" s="64">
        <v>3.5</v>
      </c>
      <c r="E45" s="43">
        <f t="shared" si="3"/>
        <v>288</v>
      </c>
      <c r="F45" s="27" t="s">
        <v>39</v>
      </c>
      <c r="G45" s="50">
        <v>0.48</v>
      </c>
      <c r="H45" s="31">
        <v>1.0900000000000001</v>
      </c>
      <c r="I45" s="27">
        <v>186.6</v>
      </c>
      <c r="J45" s="27">
        <v>82.5</v>
      </c>
      <c r="K45" s="64">
        <v>72</v>
      </c>
      <c r="L45" s="52">
        <f>AVERAGE(800,740,851,766,730,758,725,739,726)</f>
        <v>759.44444444444446</v>
      </c>
      <c r="M45" s="27" t="s">
        <v>1072</v>
      </c>
      <c r="N45" s="52">
        <f>AVERAGE(1028,899,1050,1149,1095,1295,1050,1000)</f>
        <v>1070.75</v>
      </c>
      <c r="O45" s="27" t="s">
        <v>1072</v>
      </c>
      <c r="P45" s="52">
        <v>1000</v>
      </c>
      <c r="Q45" s="61" t="s">
        <v>1072</v>
      </c>
      <c r="R45" s="43" t="s">
        <v>32</v>
      </c>
      <c r="S45" s="52">
        <v>995</v>
      </c>
      <c r="T45" s="27" t="s">
        <v>1072</v>
      </c>
      <c r="U45" s="43" t="s">
        <v>29</v>
      </c>
    </row>
    <row r="46" spans="1:23" ht="12.6" customHeight="1">
      <c r="A46" s="66" t="s">
        <v>38</v>
      </c>
      <c r="B46" s="37" t="s">
        <v>489</v>
      </c>
      <c r="C46" s="2">
        <v>200</v>
      </c>
      <c r="D46" s="3">
        <v>1.8</v>
      </c>
      <c r="E46" s="41">
        <f t="shared" si="3"/>
        <v>320</v>
      </c>
      <c r="F46" s="2" t="s">
        <v>39</v>
      </c>
      <c r="G46" s="68">
        <v>2.5</v>
      </c>
      <c r="H46" s="69">
        <v>3</v>
      </c>
      <c r="I46" s="2">
        <v>208</v>
      </c>
      <c r="J46" s="2">
        <v>129.5</v>
      </c>
      <c r="K46" s="3" t="s">
        <v>43</v>
      </c>
      <c r="L46" s="58">
        <f>AVERAGE(3000,3306,3278,3300,3500,3249,3498)</f>
        <v>3304.4285714285716</v>
      </c>
      <c r="M46" s="16" t="s">
        <v>1072</v>
      </c>
      <c r="N46" s="58">
        <f>AVERAGE(3500,4334,3798,3640,3798,3650,3700,3990,3999,4050,3999,3850)</f>
        <v>3859</v>
      </c>
      <c r="O46" s="16" t="s">
        <v>1072</v>
      </c>
      <c r="P46" s="71">
        <v>3500</v>
      </c>
      <c r="Q46" s="115" t="s">
        <v>1072</v>
      </c>
      <c r="R46" s="72" t="s">
        <v>32</v>
      </c>
      <c r="S46" s="71" t="s">
        <v>16</v>
      </c>
      <c r="T46" s="115" t="s">
        <v>16</v>
      </c>
      <c r="U46" s="72" t="s">
        <v>16</v>
      </c>
    </row>
    <row r="47" spans="1:23" ht="12.6" customHeight="1">
      <c r="A47" s="66" t="s">
        <v>38</v>
      </c>
      <c r="B47" s="37" t="s">
        <v>660</v>
      </c>
      <c r="C47" s="2">
        <v>200</v>
      </c>
      <c r="D47" s="3">
        <v>2</v>
      </c>
      <c r="E47" s="41">
        <f t="shared" si="3"/>
        <v>320</v>
      </c>
      <c r="F47" s="2" t="s">
        <v>39</v>
      </c>
      <c r="G47" s="68">
        <v>1.9</v>
      </c>
      <c r="H47" s="69">
        <v>2.5</v>
      </c>
      <c r="I47" s="2">
        <v>208</v>
      </c>
      <c r="J47" s="2">
        <v>128</v>
      </c>
      <c r="K47" s="3" t="s">
        <v>45</v>
      </c>
      <c r="L47" s="58">
        <f>AVERAGE(4005,4550,4283,4050,4099,4075,4306,4352,3950,4399,4350)</f>
        <v>4219.909090909091</v>
      </c>
      <c r="M47" s="16" t="s">
        <v>1072</v>
      </c>
      <c r="N47" s="58">
        <f>AVERAGE(4655,4996,4599,4750,4167,4561,5089,4705)</f>
        <v>4690.25</v>
      </c>
      <c r="O47" s="16" t="s">
        <v>1072</v>
      </c>
      <c r="P47" s="58">
        <v>4600</v>
      </c>
      <c r="Q47" s="16" t="s">
        <v>981</v>
      </c>
      <c r="R47" s="41" t="s">
        <v>32</v>
      </c>
      <c r="S47" s="58">
        <v>4900</v>
      </c>
      <c r="T47" s="16" t="s">
        <v>981</v>
      </c>
      <c r="U47" s="41" t="s">
        <v>32</v>
      </c>
      <c r="W47" s="3"/>
    </row>
    <row r="48" spans="1:23" ht="12.6" customHeight="1">
      <c r="A48" s="66" t="s">
        <v>38</v>
      </c>
      <c r="B48" s="37" t="s">
        <v>661</v>
      </c>
      <c r="C48" s="2">
        <v>200</v>
      </c>
      <c r="D48" s="3">
        <v>2.8</v>
      </c>
      <c r="E48" s="41">
        <f t="shared" si="3"/>
        <v>320</v>
      </c>
      <c r="F48" s="2" t="s">
        <v>39</v>
      </c>
      <c r="G48" s="68">
        <v>1.5</v>
      </c>
      <c r="H48" s="69">
        <v>0.79</v>
      </c>
      <c r="I48" s="2">
        <v>136.19999999999999</v>
      </c>
      <c r="J48" s="2">
        <v>83.2</v>
      </c>
      <c r="K48" s="3">
        <v>72</v>
      </c>
      <c r="L48" s="58">
        <f>AVERAGE(405,350,405,355,332,415,421,425,430,468,447)</f>
        <v>404.81818181818181</v>
      </c>
      <c r="M48" s="16" t="s">
        <v>1072</v>
      </c>
      <c r="N48" s="58">
        <f>AVERAGE(450,466,470,489,510,600,528,607,525,450)</f>
        <v>509.5</v>
      </c>
      <c r="O48" s="16" t="s">
        <v>1072</v>
      </c>
      <c r="P48" s="58">
        <f>499*CA.US</f>
        <v>349.29999999999995</v>
      </c>
      <c r="Q48" s="16" t="s">
        <v>981</v>
      </c>
      <c r="R48" s="41" t="s">
        <v>758</v>
      </c>
      <c r="S48" s="58">
        <v>600</v>
      </c>
      <c r="T48" s="16" t="s">
        <v>981</v>
      </c>
      <c r="U48" s="41" t="s">
        <v>30</v>
      </c>
    </row>
    <row r="49" spans="1:23" ht="12.6" customHeight="1">
      <c r="A49" s="60" t="s">
        <v>38</v>
      </c>
      <c r="B49" s="49" t="s">
        <v>44</v>
      </c>
      <c r="C49" s="27">
        <v>200</v>
      </c>
      <c r="D49" s="64">
        <v>2.8</v>
      </c>
      <c r="E49" s="43">
        <f t="shared" si="3"/>
        <v>320</v>
      </c>
      <c r="F49" s="27" t="s">
        <v>39</v>
      </c>
      <c r="G49" s="50">
        <v>1.5</v>
      </c>
      <c r="H49" s="31">
        <v>0.76500000000000001</v>
      </c>
      <c r="I49" s="27">
        <v>136.19999999999999</v>
      </c>
      <c r="J49" s="27">
        <v>83.2</v>
      </c>
      <c r="K49" s="64">
        <v>72</v>
      </c>
      <c r="L49" s="52">
        <f>AVERAGE(441,455,488,499,414,510,477,471,462,442)</f>
        <v>465.9</v>
      </c>
      <c r="M49" s="61" t="s">
        <v>1072</v>
      </c>
      <c r="N49" s="52">
        <f>AVERAGE(537,599,598,598,580,535,561,560,611)</f>
        <v>575.44444444444446</v>
      </c>
      <c r="O49" s="61" t="s">
        <v>1072</v>
      </c>
      <c r="P49" s="52">
        <f>750*CA.US</f>
        <v>525</v>
      </c>
      <c r="Q49" s="61" t="s">
        <v>1072</v>
      </c>
      <c r="R49" s="43" t="s">
        <v>418</v>
      </c>
      <c r="S49" s="52">
        <v>700</v>
      </c>
      <c r="T49" s="61" t="s">
        <v>1072</v>
      </c>
      <c r="U49" s="43" t="s">
        <v>30</v>
      </c>
    </row>
    <row r="50" spans="1:23" ht="12.6" customHeight="1">
      <c r="A50" s="66" t="s">
        <v>38</v>
      </c>
      <c r="B50" s="37" t="s">
        <v>662</v>
      </c>
      <c r="C50" s="2">
        <v>300</v>
      </c>
      <c r="D50" s="3">
        <v>2.8</v>
      </c>
      <c r="E50" s="41">
        <f t="shared" si="3"/>
        <v>480</v>
      </c>
      <c r="F50" s="2" t="s">
        <v>39</v>
      </c>
      <c r="G50" s="68">
        <v>3</v>
      </c>
      <c r="H50" s="69">
        <v>2.855</v>
      </c>
      <c r="I50" s="2">
        <v>253</v>
      </c>
      <c r="J50" s="2">
        <v>125</v>
      </c>
      <c r="K50" s="3" t="s">
        <v>43</v>
      </c>
      <c r="L50" s="58">
        <f>AVERAGE(1689,1581,1996,1947,1849,1948,2170,2250,1968)</f>
        <v>1933.1111111111111</v>
      </c>
      <c r="M50" s="16" t="s">
        <v>1072</v>
      </c>
      <c r="N50" s="58">
        <f>AVERAGE(2250,2299,2599,2350,2780,2799,2700)</f>
        <v>2539.5714285714284</v>
      </c>
      <c r="O50" s="16" t="s">
        <v>1045</v>
      </c>
      <c r="P50" s="58">
        <v>2800</v>
      </c>
      <c r="Q50" s="16" t="s">
        <v>1072</v>
      </c>
      <c r="R50" s="41" t="s">
        <v>30</v>
      </c>
      <c r="S50" s="58" t="s">
        <v>16</v>
      </c>
      <c r="T50" s="16" t="s">
        <v>16</v>
      </c>
      <c r="U50" s="41" t="s">
        <v>16</v>
      </c>
    </row>
    <row r="51" spans="1:23" ht="12.6" customHeight="1">
      <c r="A51" s="66" t="s">
        <v>38</v>
      </c>
      <c r="B51" s="37" t="s">
        <v>679</v>
      </c>
      <c r="C51" s="2">
        <v>300</v>
      </c>
      <c r="D51" s="3">
        <v>2.8</v>
      </c>
      <c r="E51" s="41">
        <f>1.6*C51</f>
        <v>480</v>
      </c>
      <c r="F51" s="2" t="s">
        <v>39</v>
      </c>
      <c r="G51" s="68">
        <v>2.5</v>
      </c>
      <c r="H51" s="69">
        <v>2.5499999999999998</v>
      </c>
      <c r="I51" s="2">
        <v>252</v>
      </c>
      <c r="J51" s="2">
        <v>128</v>
      </c>
      <c r="K51" s="3" t="s">
        <v>45</v>
      </c>
      <c r="L51" s="58">
        <f>AVERAGE(2980,2900,3149,2884,2930,2885,3000,3377)</f>
        <v>3013.125</v>
      </c>
      <c r="M51" s="2" t="s">
        <v>1045</v>
      </c>
      <c r="N51" s="58">
        <f>AVERAGE(3148,3999.3855,3999,3530,3800,4000,3899,3999,4199)</f>
        <v>3841.4872777777782</v>
      </c>
      <c r="O51" s="2" t="s">
        <v>1072</v>
      </c>
      <c r="P51" s="58">
        <v>1995</v>
      </c>
      <c r="Q51" s="2" t="s">
        <v>1072</v>
      </c>
      <c r="R51" s="41" t="s">
        <v>28</v>
      </c>
      <c r="S51" s="58">
        <f>4800*CA.US</f>
        <v>3360</v>
      </c>
      <c r="T51" s="2" t="s">
        <v>1072</v>
      </c>
      <c r="U51" s="41" t="s">
        <v>418</v>
      </c>
      <c r="W51" s="3"/>
    </row>
    <row r="52" spans="1:23" ht="12.6" customHeight="1">
      <c r="A52" s="66" t="s">
        <v>38</v>
      </c>
      <c r="B52" s="37" t="s">
        <v>663</v>
      </c>
      <c r="C52" s="2">
        <v>300</v>
      </c>
      <c r="D52" s="3">
        <v>2.8</v>
      </c>
      <c r="E52" s="41">
        <f t="shared" si="3"/>
        <v>480</v>
      </c>
      <c r="F52" s="2" t="s">
        <v>39</v>
      </c>
      <c r="G52" s="68">
        <v>2</v>
      </c>
      <c r="H52" s="69">
        <v>2.35</v>
      </c>
      <c r="I52" s="2">
        <v>248</v>
      </c>
      <c r="J52" s="2">
        <v>128</v>
      </c>
      <c r="K52" s="3" t="s">
        <v>45</v>
      </c>
      <c r="L52" s="58">
        <f>AVERAGE(4476,4912,4350,5100,5000,5400,4815,5205)</f>
        <v>4907.25</v>
      </c>
      <c r="M52" s="16" t="s">
        <v>1013</v>
      </c>
      <c r="N52" s="58">
        <f>AVERAGE(4949,5726,6199,5901,5802,6399,5994)</f>
        <v>5852.8571428571431</v>
      </c>
      <c r="O52" s="16" t="s">
        <v>1072</v>
      </c>
      <c r="P52" s="58">
        <v>5000</v>
      </c>
      <c r="Q52" s="16" t="s">
        <v>1072</v>
      </c>
      <c r="R52" s="41" t="s">
        <v>906</v>
      </c>
      <c r="S52" s="58">
        <v>5800</v>
      </c>
      <c r="T52" s="16" t="s">
        <v>981</v>
      </c>
      <c r="U52" s="41" t="s">
        <v>30</v>
      </c>
      <c r="W52" s="3"/>
    </row>
    <row r="53" spans="1:23" ht="12.6" customHeight="1">
      <c r="A53" s="66" t="s">
        <v>38</v>
      </c>
      <c r="B53" s="37" t="s">
        <v>664</v>
      </c>
      <c r="C53" s="2">
        <v>300</v>
      </c>
      <c r="D53" s="3">
        <v>4</v>
      </c>
      <c r="E53" s="41">
        <f t="shared" si="3"/>
        <v>480</v>
      </c>
      <c r="F53" s="2" t="s">
        <v>39</v>
      </c>
      <c r="G53" s="68">
        <v>2.5</v>
      </c>
      <c r="H53" s="69">
        <v>1.165</v>
      </c>
      <c r="I53" s="2">
        <v>213.5</v>
      </c>
      <c r="J53" s="2">
        <v>90</v>
      </c>
      <c r="K53" s="3">
        <v>77</v>
      </c>
      <c r="L53" s="58">
        <f xml:space="preserve"> AVERAGE(550,590,415,545,538,384,500,595,453)</f>
        <v>507.77777777777777</v>
      </c>
      <c r="M53" s="16" t="s">
        <v>1072</v>
      </c>
      <c r="N53" s="58">
        <f>AVERAGE(610,617,650,675,719,778)</f>
        <v>674.83333333333337</v>
      </c>
      <c r="O53" s="16" t="s">
        <v>1072</v>
      </c>
      <c r="P53" s="58">
        <v>650</v>
      </c>
      <c r="Q53" s="16" t="s">
        <v>1072</v>
      </c>
      <c r="R53" s="41" t="s">
        <v>30</v>
      </c>
      <c r="S53" s="58">
        <v>1080</v>
      </c>
      <c r="T53" s="16" t="s">
        <v>579</v>
      </c>
      <c r="U53" s="41" t="s">
        <v>30</v>
      </c>
    </row>
    <row r="54" spans="1:23" ht="12.6" customHeight="1">
      <c r="A54" s="60" t="s">
        <v>38</v>
      </c>
      <c r="B54" s="49" t="s">
        <v>490</v>
      </c>
      <c r="C54" s="27">
        <v>300</v>
      </c>
      <c r="D54" s="64">
        <v>4</v>
      </c>
      <c r="E54" s="43">
        <f t="shared" si="3"/>
        <v>480</v>
      </c>
      <c r="F54" s="27" t="s">
        <v>39</v>
      </c>
      <c r="G54" s="50">
        <v>1.5</v>
      </c>
      <c r="H54" s="31">
        <v>1.19</v>
      </c>
      <c r="I54" s="27">
        <v>221</v>
      </c>
      <c r="J54" s="27">
        <v>90</v>
      </c>
      <c r="K54" s="64">
        <v>77</v>
      </c>
      <c r="L54" s="52">
        <f>AVERAGE(639,734,661,662,647,649,680,721,621)</f>
        <v>668.22222222222217</v>
      </c>
      <c r="M54" s="155" t="s">
        <v>1072</v>
      </c>
      <c r="N54" s="52">
        <f>AVERAGE(860,945,846,900,827,800,817,899,865,990)</f>
        <v>874.9</v>
      </c>
      <c r="O54" s="61" t="s">
        <v>1072</v>
      </c>
      <c r="P54" s="52">
        <v>725</v>
      </c>
      <c r="Q54" s="61" t="s">
        <v>1072</v>
      </c>
      <c r="R54" s="43" t="s">
        <v>33</v>
      </c>
      <c r="S54" s="52">
        <v>900</v>
      </c>
      <c r="T54" s="61" t="s">
        <v>1072</v>
      </c>
      <c r="U54" s="43" t="s">
        <v>32</v>
      </c>
      <c r="W54" s="3"/>
    </row>
    <row r="55" spans="1:23" s="17" customFormat="1" ht="12.6" customHeight="1">
      <c r="A55" s="66" t="s">
        <v>38</v>
      </c>
      <c r="B55" s="37" t="s">
        <v>665</v>
      </c>
      <c r="C55" s="2">
        <v>400</v>
      </c>
      <c r="D55" s="3">
        <v>2.8</v>
      </c>
      <c r="E55" s="41">
        <f t="shared" si="3"/>
        <v>640</v>
      </c>
      <c r="F55" s="2" t="s">
        <v>39</v>
      </c>
      <c r="G55" s="68">
        <v>4</v>
      </c>
      <c r="H55" s="69">
        <v>6.1</v>
      </c>
      <c r="I55" s="2">
        <v>348</v>
      </c>
      <c r="J55" s="2">
        <v>167</v>
      </c>
      <c r="K55" s="3" t="s">
        <v>43</v>
      </c>
      <c r="L55" s="58">
        <f>AVERAGE(1647,1949)</f>
        <v>1798</v>
      </c>
      <c r="M55" s="2" t="s">
        <v>1072</v>
      </c>
      <c r="N55" s="58">
        <f>AVERAGE(2950,2950,3600)</f>
        <v>3166.6666666666665</v>
      </c>
      <c r="O55" s="2" t="s">
        <v>1072</v>
      </c>
      <c r="P55" s="58">
        <v>3520</v>
      </c>
      <c r="Q55" s="2" t="s">
        <v>863</v>
      </c>
      <c r="R55" s="41" t="s">
        <v>30</v>
      </c>
      <c r="S55" s="58" t="s">
        <v>16</v>
      </c>
      <c r="T55" s="2" t="s">
        <v>16</v>
      </c>
      <c r="U55" s="41" t="s">
        <v>16</v>
      </c>
      <c r="W55" s="3"/>
    </row>
    <row r="56" spans="1:23" ht="12.6" customHeight="1">
      <c r="A56" s="66" t="s">
        <v>38</v>
      </c>
      <c r="B56" s="37" t="s">
        <v>46</v>
      </c>
      <c r="C56" s="2">
        <v>400</v>
      </c>
      <c r="D56" s="3">
        <v>2.8</v>
      </c>
      <c r="E56" s="41">
        <f t="shared" si="3"/>
        <v>640</v>
      </c>
      <c r="F56" s="2" t="s">
        <v>39</v>
      </c>
      <c r="G56" s="68">
        <v>4</v>
      </c>
      <c r="H56" s="69">
        <v>5.91</v>
      </c>
      <c r="I56" s="2">
        <v>348</v>
      </c>
      <c r="J56" s="2">
        <v>167</v>
      </c>
      <c r="K56" s="3" t="s">
        <v>43</v>
      </c>
      <c r="L56" s="58">
        <f>AVERAGE(2025,2850)</f>
        <v>2437.5</v>
      </c>
      <c r="M56" s="16" t="s">
        <v>1072</v>
      </c>
      <c r="N56" s="58">
        <f>AVERAGE(3350,3899)</f>
        <v>3624.5</v>
      </c>
      <c r="O56" s="16" t="s">
        <v>1072</v>
      </c>
      <c r="P56" s="58">
        <v>3800</v>
      </c>
      <c r="Q56" s="16" t="s">
        <v>917</v>
      </c>
      <c r="R56" s="59" t="s">
        <v>33</v>
      </c>
      <c r="S56" s="58">
        <v>4995</v>
      </c>
      <c r="T56" s="16" t="s">
        <v>1045</v>
      </c>
      <c r="U56" s="59" t="s">
        <v>28</v>
      </c>
    </row>
    <row r="57" spans="1:23" ht="12.6" customHeight="1">
      <c r="A57" s="66" t="s">
        <v>38</v>
      </c>
      <c r="B57" s="37" t="s">
        <v>666</v>
      </c>
      <c r="C57" s="2">
        <v>400</v>
      </c>
      <c r="D57" s="3">
        <v>2.8</v>
      </c>
      <c r="E57" s="41">
        <f>1.6*C57</f>
        <v>640</v>
      </c>
      <c r="F57" s="2" t="s">
        <v>39</v>
      </c>
      <c r="G57" s="68">
        <v>3</v>
      </c>
      <c r="H57" s="69">
        <v>5.37</v>
      </c>
      <c r="I57" s="2">
        <v>349</v>
      </c>
      <c r="J57" s="2">
        <v>163</v>
      </c>
      <c r="K57" s="3" t="s">
        <v>45</v>
      </c>
      <c r="L57" s="58">
        <f>AVERAGE(3600,4098,3984,5049,4799)</f>
        <v>4306</v>
      </c>
      <c r="M57" s="2" t="s">
        <v>1072</v>
      </c>
      <c r="N57" s="58">
        <f>AVERAGE(5300,5499,5509,5473,5310,5500,5000,5115)</f>
        <v>5338.25</v>
      </c>
      <c r="O57" s="16" t="s">
        <v>1072</v>
      </c>
      <c r="P57" s="58">
        <v>4700</v>
      </c>
      <c r="Q57" s="16" t="s">
        <v>1013</v>
      </c>
      <c r="R57" s="59" t="s">
        <v>28</v>
      </c>
      <c r="S57" s="58">
        <v>4895</v>
      </c>
      <c r="T57" s="16" t="s">
        <v>1072</v>
      </c>
      <c r="U57" s="59" t="s">
        <v>28</v>
      </c>
      <c r="W57" s="3"/>
    </row>
    <row r="58" spans="1:23" ht="12.6" customHeight="1">
      <c r="A58" s="66" t="s">
        <v>38</v>
      </c>
      <c r="B58" s="37" t="s">
        <v>667</v>
      </c>
      <c r="C58" s="2">
        <v>400</v>
      </c>
      <c r="D58" s="3">
        <v>2.8</v>
      </c>
      <c r="E58" s="41">
        <f t="shared" si="3"/>
        <v>640</v>
      </c>
      <c r="F58" s="2" t="s">
        <v>39</v>
      </c>
      <c r="G58" s="68">
        <v>2.7</v>
      </c>
      <c r="H58" s="69">
        <v>3.85</v>
      </c>
      <c r="I58" s="2">
        <v>343</v>
      </c>
      <c r="J58" s="2">
        <v>163</v>
      </c>
      <c r="K58" s="3" t="s">
        <v>45</v>
      </c>
      <c r="L58" s="58">
        <f>AVERAGE(6936,6055,7277,7887,7239,8300,8601,8353)</f>
        <v>7581</v>
      </c>
      <c r="M58" s="16" t="s">
        <v>1072</v>
      </c>
      <c r="N58" s="58">
        <f>AVERAGE(8499,8701,8700,9125,8500,8300,9100,8250,9130,9401,10998,7600)</f>
        <v>8858.6666666666661</v>
      </c>
      <c r="O58" s="16" t="s">
        <v>970</v>
      </c>
      <c r="P58" s="58">
        <v>8120</v>
      </c>
      <c r="Q58" s="16" t="s">
        <v>1072</v>
      </c>
      <c r="R58" s="59" t="s">
        <v>906</v>
      </c>
      <c r="S58" s="58">
        <v>8815</v>
      </c>
      <c r="T58" s="16" t="s">
        <v>981</v>
      </c>
      <c r="U58" s="59" t="s">
        <v>906</v>
      </c>
      <c r="W58" s="3"/>
    </row>
    <row r="59" spans="1:23" ht="12.6" customHeight="1">
      <c r="A59" s="66" t="s">
        <v>38</v>
      </c>
      <c r="B59" s="37" t="s">
        <v>668</v>
      </c>
      <c r="C59" s="2">
        <v>400</v>
      </c>
      <c r="D59" s="3">
        <v>4</v>
      </c>
      <c r="E59" s="41">
        <f t="shared" ref="E59" si="4">1.6*C59</f>
        <v>640</v>
      </c>
      <c r="F59" s="2" t="s">
        <v>39</v>
      </c>
      <c r="G59" s="68">
        <v>3.5</v>
      </c>
      <c r="H59" s="69">
        <v>1.94</v>
      </c>
      <c r="I59" s="2">
        <v>232.7</v>
      </c>
      <c r="J59" s="2">
        <v>128</v>
      </c>
      <c r="K59" s="3" t="s">
        <v>45</v>
      </c>
      <c r="L59" s="58">
        <f>AVERAGE(2599,2598,2376,2698,2680,2598)</f>
        <v>2591.5</v>
      </c>
      <c r="M59" s="16" t="s">
        <v>1072</v>
      </c>
      <c r="N59" s="58">
        <f>AVERAGE(2598,2844,4649,3800,4350,4549,4450)</f>
        <v>3891.4285714285716</v>
      </c>
      <c r="O59" s="16" t="s">
        <v>1072</v>
      </c>
      <c r="P59" s="58">
        <v>1995</v>
      </c>
      <c r="Q59" s="16" t="s">
        <v>1072</v>
      </c>
      <c r="R59" s="59" t="s">
        <v>28</v>
      </c>
      <c r="S59" s="58">
        <v>5250</v>
      </c>
      <c r="T59" s="16" t="s">
        <v>981</v>
      </c>
      <c r="U59" s="59" t="s">
        <v>906</v>
      </c>
      <c r="W59" s="3"/>
    </row>
    <row r="60" spans="1:23" ht="12.6" customHeight="1">
      <c r="A60" s="66" t="s">
        <v>38</v>
      </c>
      <c r="B60" s="37" t="s">
        <v>922</v>
      </c>
      <c r="C60" s="2">
        <v>400</v>
      </c>
      <c r="D60" s="3">
        <v>4</v>
      </c>
      <c r="E60" s="41">
        <f t="shared" si="3"/>
        <v>640</v>
      </c>
      <c r="F60" s="2" t="s">
        <v>39</v>
      </c>
      <c r="G60" s="68">
        <v>3.3</v>
      </c>
      <c r="H60" s="69">
        <v>2.1</v>
      </c>
      <c r="I60" s="2">
        <v>232.7</v>
      </c>
      <c r="J60" s="2">
        <v>128</v>
      </c>
      <c r="K60" s="3" t="s">
        <v>45</v>
      </c>
      <c r="L60" s="58">
        <f>AVERAGE(0)</f>
        <v>0</v>
      </c>
      <c r="M60" s="16" t="s">
        <v>16</v>
      </c>
      <c r="N60" s="147">
        <f>AVERAGE(6900,6900)</f>
        <v>6900</v>
      </c>
      <c r="O60" s="16" t="s">
        <v>973</v>
      </c>
      <c r="P60" s="58" t="s">
        <v>16</v>
      </c>
      <c r="Q60" s="16" t="s">
        <v>16</v>
      </c>
      <c r="R60" s="59" t="s">
        <v>16</v>
      </c>
      <c r="S60" s="147">
        <v>6900</v>
      </c>
      <c r="T60" s="16" t="s">
        <v>981</v>
      </c>
      <c r="U60" s="59" t="s">
        <v>32</v>
      </c>
      <c r="W60" s="3"/>
    </row>
    <row r="61" spans="1:23" ht="12.6" customHeight="1">
      <c r="A61" s="60" t="s">
        <v>38</v>
      </c>
      <c r="B61" s="49" t="s">
        <v>669</v>
      </c>
      <c r="C61" s="27">
        <v>400</v>
      </c>
      <c r="D61" s="64">
        <v>5.6</v>
      </c>
      <c r="E61" s="43">
        <f t="shared" si="3"/>
        <v>640</v>
      </c>
      <c r="F61" s="27" t="s">
        <v>39</v>
      </c>
      <c r="G61" s="50">
        <v>3.5</v>
      </c>
      <c r="H61" s="31">
        <v>1.25</v>
      </c>
      <c r="I61" s="27">
        <v>256.60000000000002</v>
      </c>
      <c r="J61" s="27">
        <v>90</v>
      </c>
      <c r="K61" s="64">
        <v>77</v>
      </c>
      <c r="L61" s="52">
        <f>AVERAGE(720,775,770,708,677,777,796,725,795,699)</f>
        <v>744.2</v>
      </c>
      <c r="M61" s="155" t="s">
        <v>1072</v>
      </c>
      <c r="N61" s="52">
        <f>AVERAGE(945,850,988,830,1045,990,941,1135)</f>
        <v>965.5</v>
      </c>
      <c r="O61" s="155" t="s">
        <v>1072</v>
      </c>
      <c r="P61" s="52">
        <v>900</v>
      </c>
      <c r="Q61" s="61" t="s">
        <v>1072</v>
      </c>
      <c r="R61" s="43" t="s">
        <v>906</v>
      </c>
      <c r="S61" s="52">
        <v>1075</v>
      </c>
      <c r="T61" s="61" t="s">
        <v>1072</v>
      </c>
      <c r="U61" s="43" t="s">
        <v>29</v>
      </c>
    </row>
    <row r="62" spans="1:23" ht="12.6" customHeight="1">
      <c r="A62" s="66" t="s">
        <v>38</v>
      </c>
      <c r="B62" s="37" t="s">
        <v>670</v>
      </c>
      <c r="C62" s="2">
        <v>500</v>
      </c>
      <c r="D62" s="3">
        <v>4</v>
      </c>
      <c r="E62" s="41">
        <f>1.6*C62</f>
        <v>800</v>
      </c>
      <c r="F62" s="2" t="s">
        <v>39</v>
      </c>
      <c r="G62" s="68">
        <v>4.5</v>
      </c>
      <c r="H62" s="69">
        <v>3.87</v>
      </c>
      <c r="I62" s="2">
        <v>387</v>
      </c>
      <c r="J62" s="2">
        <v>146</v>
      </c>
      <c r="K62" s="3" t="s">
        <v>45</v>
      </c>
      <c r="L62" s="58">
        <f>AVERAGE(4100,4079,4350,4835,4949,5071,4925,4800)</f>
        <v>4638.625</v>
      </c>
      <c r="M62" s="16" t="s">
        <v>1072</v>
      </c>
      <c r="N62" s="58">
        <f>AVERAGE(4698,5100,4995,5769,5820,5769,5875,5500)</f>
        <v>5440.75</v>
      </c>
      <c r="O62" s="16" t="s">
        <v>1072</v>
      </c>
      <c r="P62" s="58">
        <v>5000</v>
      </c>
      <c r="Q62" s="16" t="s">
        <v>1072</v>
      </c>
      <c r="R62" s="41" t="s">
        <v>32</v>
      </c>
      <c r="S62" s="58">
        <v>5300</v>
      </c>
      <c r="T62" s="16" t="s">
        <v>1072</v>
      </c>
      <c r="U62" s="41" t="s">
        <v>32</v>
      </c>
      <c r="W62" s="3"/>
    </row>
    <row r="63" spans="1:23" ht="12.6" customHeight="1">
      <c r="A63" s="66" t="s">
        <v>38</v>
      </c>
      <c r="B63" s="37" t="s">
        <v>671</v>
      </c>
      <c r="C63" s="2">
        <v>500</v>
      </c>
      <c r="D63" s="3">
        <v>4</v>
      </c>
      <c r="E63" s="41">
        <f t="shared" si="3"/>
        <v>800</v>
      </c>
      <c r="F63" s="2" t="s">
        <v>39</v>
      </c>
      <c r="G63" s="68">
        <v>3.7</v>
      </c>
      <c r="H63" s="69">
        <v>3.19</v>
      </c>
      <c r="I63" s="2">
        <v>383</v>
      </c>
      <c r="J63" s="2">
        <v>146</v>
      </c>
      <c r="K63" s="3" t="s">
        <v>45</v>
      </c>
      <c r="L63" s="58">
        <f>AVERAGE(7101)</f>
        <v>7101</v>
      </c>
      <c r="M63" s="16" t="s">
        <v>1045</v>
      </c>
      <c r="N63" s="147">
        <f>AVERAGE(10499,10247,10247,9631,9524,9999)</f>
        <v>10024.5</v>
      </c>
      <c r="O63" s="16" t="s">
        <v>917</v>
      </c>
      <c r="P63" s="58">
        <v>7690</v>
      </c>
      <c r="Q63" s="16" t="s">
        <v>981</v>
      </c>
      <c r="R63" s="41" t="s">
        <v>906</v>
      </c>
      <c r="S63" s="58">
        <v>7830</v>
      </c>
      <c r="T63" s="16" t="s">
        <v>981</v>
      </c>
      <c r="U63" s="41" t="s">
        <v>906</v>
      </c>
      <c r="W63" s="3"/>
    </row>
    <row r="64" spans="1:23" ht="12.6" customHeight="1">
      <c r="A64" s="60" t="s">
        <v>38</v>
      </c>
      <c r="B64" s="49" t="s">
        <v>672</v>
      </c>
      <c r="C64" s="27">
        <v>500</v>
      </c>
      <c r="D64" s="64">
        <v>4.5</v>
      </c>
      <c r="E64" s="43">
        <f t="shared" si="3"/>
        <v>800</v>
      </c>
      <c r="F64" s="27" t="s">
        <v>39</v>
      </c>
      <c r="G64" s="50">
        <v>5</v>
      </c>
      <c r="H64" s="31">
        <v>3</v>
      </c>
      <c r="I64" s="27">
        <v>390</v>
      </c>
      <c r="J64" s="27">
        <v>130</v>
      </c>
      <c r="K64" s="64" t="s">
        <v>43</v>
      </c>
      <c r="L64" s="52">
        <f>AVERAGE(2890,2898,2890,2706,2650,3086,3492,3049,2900,2660)</f>
        <v>2922.1</v>
      </c>
      <c r="M64" s="155" t="s">
        <v>981</v>
      </c>
      <c r="N64" s="52">
        <f>AVERAGE(3862,3495,3762,3672,3850,3910,3802,4000,3800,3899,3850)</f>
        <v>3809.2727272727275</v>
      </c>
      <c r="O64" s="61" t="s">
        <v>970</v>
      </c>
      <c r="P64" s="52">
        <v>2700</v>
      </c>
      <c r="Q64" s="61" t="s">
        <v>1072</v>
      </c>
      <c r="R64" s="43" t="s">
        <v>30</v>
      </c>
      <c r="S64" s="52">
        <v>4460</v>
      </c>
      <c r="T64" s="61" t="s">
        <v>631</v>
      </c>
      <c r="U64" s="43" t="s">
        <v>30</v>
      </c>
    </row>
    <row r="65" spans="1:24" ht="12.6" customHeight="1">
      <c r="A65" s="66" t="s">
        <v>38</v>
      </c>
      <c r="B65" s="37" t="s">
        <v>673</v>
      </c>
      <c r="C65" s="2">
        <v>600</v>
      </c>
      <c r="D65" s="3">
        <v>4</v>
      </c>
      <c r="E65" s="41">
        <f t="shared" si="3"/>
        <v>960</v>
      </c>
      <c r="F65" s="2" t="s">
        <v>39</v>
      </c>
      <c r="G65" s="68">
        <v>6</v>
      </c>
      <c r="H65" s="69">
        <v>6</v>
      </c>
      <c r="I65" s="2">
        <v>456</v>
      </c>
      <c r="J65" s="2">
        <v>167</v>
      </c>
      <c r="K65" s="3" t="s">
        <v>43</v>
      </c>
      <c r="L65" s="58">
        <f>AVERAGE(3480,3800,3200,3900,3000,4279,3750,3500,3199,3250,3400)</f>
        <v>3523.4545454545455</v>
      </c>
      <c r="M65" s="2" t="s">
        <v>981</v>
      </c>
      <c r="N65" s="58">
        <f>AVERAGE(4684,4820,4210,5500,4295,4895,4400,5728,4699,4500)</f>
        <v>4773.1000000000004</v>
      </c>
      <c r="O65" s="2" t="s">
        <v>981</v>
      </c>
      <c r="P65" s="58">
        <v>4200</v>
      </c>
      <c r="Q65" s="2" t="s">
        <v>1072</v>
      </c>
      <c r="R65" s="41" t="s">
        <v>32</v>
      </c>
      <c r="S65" s="58">
        <v>5295</v>
      </c>
      <c r="T65" s="2" t="s">
        <v>584</v>
      </c>
      <c r="U65" s="41" t="s">
        <v>583</v>
      </c>
    </row>
    <row r="66" spans="1:24" ht="12.6" customHeight="1">
      <c r="A66" s="66" t="s">
        <v>38</v>
      </c>
      <c r="B66" s="37" t="s">
        <v>674</v>
      </c>
      <c r="C66" s="2">
        <v>600</v>
      </c>
      <c r="D66" s="3">
        <v>4</v>
      </c>
      <c r="E66" s="41">
        <f>1.6*C66</f>
        <v>960</v>
      </c>
      <c r="F66" s="2" t="s">
        <v>39</v>
      </c>
      <c r="G66" s="68">
        <v>5.5</v>
      </c>
      <c r="H66" s="69">
        <v>5.36</v>
      </c>
      <c r="I66" s="2">
        <v>456</v>
      </c>
      <c r="J66" s="2">
        <v>168</v>
      </c>
      <c r="K66" s="3" t="s">
        <v>45</v>
      </c>
      <c r="L66" s="58">
        <f>AVERAGE(5910,5450,4255,620,5672,5126,5832,5700,5200)</f>
        <v>4862.7777777777774</v>
      </c>
      <c r="M66" s="2" t="s">
        <v>1072</v>
      </c>
      <c r="N66" s="58">
        <f>AVERAGE(5848,5910,6370,6200,6440,7000,6001,6590,6305)</f>
        <v>6296</v>
      </c>
      <c r="O66" s="16" t="s">
        <v>1072</v>
      </c>
      <c r="P66" s="58">
        <v>6900</v>
      </c>
      <c r="Q66" s="2" t="s">
        <v>981</v>
      </c>
      <c r="R66" s="41" t="s">
        <v>32</v>
      </c>
      <c r="S66" s="58">
        <v>7800</v>
      </c>
      <c r="T66" s="2" t="s">
        <v>973</v>
      </c>
      <c r="U66" s="41" t="s">
        <v>32</v>
      </c>
      <c r="W66" s="3"/>
    </row>
    <row r="67" spans="1:24" ht="12.6" customHeight="1">
      <c r="A67" s="66" t="s">
        <v>38</v>
      </c>
      <c r="B67" s="37" t="s">
        <v>675</v>
      </c>
      <c r="C67" s="2">
        <v>600</v>
      </c>
      <c r="D67" s="3">
        <v>4</v>
      </c>
      <c r="E67" s="41">
        <f t="shared" si="3"/>
        <v>960</v>
      </c>
      <c r="F67" s="2" t="s">
        <v>39</v>
      </c>
      <c r="G67" s="68">
        <v>4.5</v>
      </c>
      <c r="H67" s="69">
        <v>3.92</v>
      </c>
      <c r="I67" s="2">
        <v>447</v>
      </c>
      <c r="J67" s="2">
        <v>168</v>
      </c>
      <c r="K67" s="3" t="s">
        <v>45</v>
      </c>
      <c r="L67" s="58">
        <f>AVERAGE(11250,10900,9600)</f>
        <v>10583.333333333334</v>
      </c>
      <c r="M67" s="2" t="s">
        <v>1072</v>
      </c>
      <c r="N67" s="147">
        <f>AVERAGE(12749)</f>
        <v>12749</v>
      </c>
      <c r="O67" s="2" t="s">
        <v>774</v>
      </c>
      <c r="P67" s="58" t="s">
        <v>16</v>
      </c>
      <c r="Q67" s="2" t="s">
        <v>16</v>
      </c>
      <c r="R67" s="41" t="s">
        <v>16</v>
      </c>
      <c r="S67" s="58">
        <v>10500</v>
      </c>
      <c r="T67" s="2" t="s">
        <v>981</v>
      </c>
      <c r="U67" s="41" t="s">
        <v>33</v>
      </c>
      <c r="W67" s="3"/>
    </row>
    <row r="68" spans="1:24" ht="12.6" customHeight="1">
      <c r="A68" s="66" t="s">
        <v>38</v>
      </c>
      <c r="B68" s="37" t="s">
        <v>676</v>
      </c>
      <c r="C68" s="2">
        <v>800</v>
      </c>
      <c r="D68" s="3">
        <v>5.6</v>
      </c>
      <c r="E68" s="41">
        <f t="shared" si="3"/>
        <v>1280</v>
      </c>
      <c r="F68" s="2" t="s">
        <v>39</v>
      </c>
      <c r="G68" s="68">
        <v>6</v>
      </c>
      <c r="H68" s="69">
        <v>4.5</v>
      </c>
      <c r="I68" s="2">
        <v>461</v>
      </c>
      <c r="J68" s="2">
        <v>162</v>
      </c>
      <c r="K68" s="3" t="s">
        <v>45</v>
      </c>
      <c r="L68" s="58">
        <f>AVERAGE(5300,6210,7700,8500,8600,6699,6699,6960)</f>
        <v>7083.5</v>
      </c>
      <c r="M68" s="160" t="s">
        <v>1033</v>
      </c>
      <c r="N68" s="58">
        <f>AVERAGE(8358,9235,10029,9810,10009,9399,9200,9499)</f>
        <v>9442.375</v>
      </c>
      <c r="O68" s="16" t="s">
        <v>1013</v>
      </c>
      <c r="P68" s="58">
        <v>8970</v>
      </c>
      <c r="Q68" s="16" t="s">
        <v>1072</v>
      </c>
      <c r="R68" s="41" t="s">
        <v>906</v>
      </c>
      <c r="S68" s="58">
        <v>11000</v>
      </c>
      <c r="T68" s="16" t="s">
        <v>1072</v>
      </c>
      <c r="U68" s="41" t="s">
        <v>32</v>
      </c>
      <c r="W68" s="3"/>
    </row>
    <row r="69" spans="1:24" ht="12.6" customHeight="1">
      <c r="A69" s="60" t="s">
        <v>38</v>
      </c>
      <c r="B69" s="49" t="s">
        <v>677</v>
      </c>
      <c r="C69" s="27">
        <v>1200</v>
      </c>
      <c r="D69" s="64">
        <v>5.6</v>
      </c>
      <c r="E69" s="43">
        <f t="shared" si="3"/>
        <v>1920</v>
      </c>
      <c r="F69" s="27" t="s">
        <v>39</v>
      </c>
      <c r="G69" s="50">
        <v>14</v>
      </c>
      <c r="H69" s="31">
        <v>16.5</v>
      </c>
      <c r="I69" s="27">
        <v>836</v>
      </c>
      <c r="J69" s="27">
        <v>228</v>
      </c>
      <c r="K69" s="64" t="s">
        <v>43</v>
      </c>
      <c r="L69" s="52">
        <f>AVERAGE(0)</f>
        <v>0</v>
      </c>
      <c r="M69" s="27" t="s">
        <v>16</v>
      </c>
      <c r="N69" s="52">
        <f>AVERAGE(0)</f>
        <v>0</v>
      </c>
      <c r="O69" s="27" t="s">
        <v>16</v>
      </c>
      <c r="P69" s="52" t="s">
        <v>980</v>
      </c>
      <c r="Q69" s="27" t="s">
        <v>981</v>
      </c>
      <c r="R69" s="43" t="s">
        <v>32</v>
      </c>
      <c r="S69" s="52" t="s">
        <v>1057</v>
      </c>
      <c r="T69" s="27" t="s">
        <v>1072</v>
      </c>
      <c r="U69" s="43" t="s">
        <v>32</v>
      </c>
    </row>
    <row r="70" spans="1:24" s="17" customFormat="1" ht="12.6" customHeight="1">
      <c r="A70" s="97" t="s">
        <v>950</v>
      </c>
      <c r="B70" s="98"/>
      <c r="C70" s="34" t="s">
        <v>16</v>
      </c>
      <c r="D70" s="99" t="s">
        <v>16</v>
      </c>
      <c r="E70" s="34" t="s">
        <v>16</v>
      </c>
      <c r="F70" s="100" t="s">
        <v>16</v>
      </c>
      <c r="G70" s="101" t="s">
        <v>16</v>
      </c>
      <c r="H70" s="102" t="s">
        <v>16</v>
      </c>
      <c r="I70" s="34" t="s">
        <v>16</v>
      </c>
      <c r="J70" s="34" t="s">
        <v>16</v>
      </c>
      <c r="K70" s="34" t="s">
        <v>16</v>
      </c>
      <c r="L70" s="34" t="s">
        <v>16</v>
      </c>
      <c r="M70" s="34" t="s">
        <v>16</v>
      </c>
      <c r="N70" s="34" t="s">
        <v>16</v>
      </c>
      <c r="O70" s="34" t="s">
        <v>16</v>
      </c>
      <c r="P70" s="34" t="s">
        <v>16</v>
      </c>
      <c r="Q70" s="34" t="s">
        <v>16</v>
      </c>
      <c r="R70" s="34" t="s">
        <v>16</v>
      </c>
      <c r="S70" s="34" t="s">
        <v>16</v>
      </c>
      <c r="T70" s="34" t="s">
        <v>16</v>
      </c>
      <c r="U70" s="34" t="s">
        <v>16</v>
      </c>
      <c r="W70" s="3"/>
    </row>
    <row r="71" spans="1:24" ht="12.6" customHeight="1">
      <c r="A71" s="66" t="s">
        <v>38</v>
      </c>
      <c r="B71" s="37" t="s">
        <v>933</v>
      </c>
      <c r="C71" s="2">
        <v>24</v>
      </c>
      <c r="D71" s="3">
        <v>2.8</v>
      </c>
      <c r="E71" s="41">
        <f>1.6*C71</f>
        <v>38.400000000000006</v>
      </c>
      <c r="F71" s="2" t="s">
        <v>98</v>
      </c>
      <c r="G71" s="68">
        <v>0.16</v>
      </c>
      <c r="H71" s="69">
        <v>0.125</v>
      </c>
      <c r="I71" s="2">
        <v>22.8</v>
      </c>
      <c r="J71" s="2">
        <v>68.2</v>
      </c>
      <c r="K71" s="3">
        <v>52</v>
      </c>
      <c r="L71" s="58">
        <f>AVERAGE(100,115,123,116,104,105,103)</f>
        <v>109.42857142857143</v>
      </c>
      <c r="M71" s="16" t="s">
        <v>1072</v>
      </c>
      <c r="N71" s="58">
        <f>AVERAGE(124,129,125,130)</f>
        <v>127</v>
      </c>
      <c r="O71" s="16" t="s">
        <v>1072</v>
      </c>
      <c r="P71" s="58">
        <f>140*CA.US</f>
        <v>98</v>
      </c>
      <c r="Q71" s="16" t="s">
        <v>1072</v>
      </c>
      <c r="R71" s="41" t="s">
        <v>418</v>
      </c>
      <c r="S71" s="58">
        <v>115</v>
      </c>
      <c r="T71" s="16" t="s">
        <v>1045</v>
      </c>
      <c r="U71" s="41" t="s">
        <v>30</v>
      </c>
      <c r="W71" s="3"/>
      <c r="X71" s="17"/>
    </row>
    <row r="72" spans="1:24" ht="12.6" customHeight="1">
      <c r="A72" s="66" t="s">
        <v>38</v>
      </c>
      <c r="B72" s="37" t="s">
        <v>951</v>
      </c>
      <c r="C72" s="2">
        <v>60</v>
      </c>
      <c r="D72" s="3">
        <v>2.8</v>
      </c>
      <c r="E72" s="41">
        <f>1.6*C72</f>
        <v>96</v>
      </c>
      <c r="F72" s="2" t="s">
        <v>98</v>
      </c>
      <c r="G72" s="68">
        <v>0.2</v>
      </c>
      <c r="H72" s="69">
        <v>0.33500000000000002</v>
      </c>
      <c r="I72" s="2">
        <v>73</v>
      </c>
      <c r="J72" s="2">
        <v>69.8</v>
      </c>
      <c r="K72" s="3">
        <v>52</v>
      </c>
      <c r="L72" s="58">
        <f>AVERAGE(239,265,208,206,200,258,263,233,255)</f>
        <v>236.33333333333334</v>
      </c>
      <c r="M72" s="16" t="s">
        <v>1072</v>
      </c>
      <c r="N72" s="58">
        <f>AVERAGE(285,306,280,293,275,300,341,310,285)</f>
        <v>297.22222222222223</v>
      </c>
      <c r="O72" s="16" t="s">
        <v>1072</v>
      </c>
      <c r="P72" s="58">
        <v>350</v>
      </c>
      <c r="Q72" s="16" t="s">
        <v>1045</v>
      </c>
      <c r="R72" s="41" t="s">
        <v>33</v>
      </c>
      <c r="S72" s="58">
        <v>420</v>
      </c>
      <c r="T72" s="16" t="s">
        <v>1072</v>
      </c>
      <c r="U72" s="41" t="s">
        <v>30</v>
      </c>
    </row>
    <row r="73" spans="1:24" s="17" customFormat="1" ht="12.6" customHeight="1">
      <c r="A73" s="97" t="s">
        <v>316</v>
      </c>
      <c r="B73" s="98"/>
      <c r="C73" s="34" t="s">
        <v>16</v>
      </c>
      <c r="D73" s="99" t="s">
        <v>16</v>
      </c>
      <c r="E73" s="34" t="s">
        <v>16</v>
      </c>
      <c r="F73" s="100" t="s">
        <v>16</v>
      </c>
      <c r="G73" s="101" t="s">
        <v>16</v>
      </c>
      <c r="H73" s="102" t="s">
        <v>16</v>
      </c>
      <c r="I73" s="34" t="s">
        <v>16</v>
      </c>
      <c r="J73" s="34" t="s">
        <v>16</v>
      </c>
      <c r="K73" s="34" t="s">
        <v>16</v>
      </c>
      <c r="L73" s="34" t="s">
        <v>16</v>
      </c>
      <c r="M73" s="34" t="s">
        <v>16</v>
      </c>
      <c r="N73" s="34" t="s">
        <v>16</v>
      </c>
      <c r="O73" s="34" t="s">
        <v>16</v>
      </c>
      <c r="P73" s="34" t="s">
        <v>16</v>
      </c>
      <c r="Q73" s="34" t="s">
        <v>16</v>
      </c>
      <c r="R73" s="34" t="s">
        <v>16</v>
      </c>
      <c r="S73" s="34" t="s">
        <v>16</v>
      </c>
      <c r="T73" s="34" t="s">
        <v>16</v>
      </c>
      <c r="U73" s="34" t="s">
        <v>16</v>
      </c>
      <c r="W73" s="3"/>
    </row>
    <row r="74" spans="1:24" ht="12.6" customHeight="1">
      <c r="A74" s="66" t="s">
        <v>38</v>
      </c>
      <c r="B74" s="37" t="s">
        <v>166</v>
      </c>
      <c r="C74" s="2" t="s">
        <v>317</v>
      </c>
      <c r="D74" s="38">
        <v>1.4</v>
      </c>
      <c r="E74" s="184">
        <v>1.4</v>
      </c>
      <c r="F74" s="2" t="s">
        <v>39</v>
      </c>
      <c r="G74" s="68" t="s">
        <v>16</v>
      </c>
      <c r="H74" s="69">
        <v>0.2</v>
      </c>
      <c r="I74" s="2">
        <v>27.3</v>
      </c>
      <c r="J74" s="2">
        <v>73</v>
      </c>
      <c r="K74" s="3" t="s">
        <v>16</v>
      </c>
      <c r="L74" s="58">
        <f>AVERAGE(128,115,113,110,125,120)</f>
        <v>118.5</v>
      </c>
      <c r="M74" s="16" t="s">
        <v>1045</v>
      </c>
      <c r="N74" s="58">
        <f>AVERAGE(145,145,150,150,160,165,177)</f>
        <v>156</v>
      </c>
      <c r="O74" s="16" t="s">
        <v>1072</v>
      </c>
      <c r="P74" s="58">
        <v>185</v>
      </c>
      <c r="Q74" s="16" t="s">
        <v>1045</v>
      </c>
      <c r="R74" s="41" t="s">
        <v>30</v>
      </c>
      <c r="S74" s="58">
        <v>165</v>
      </c>
      <c r="T74" s="16" t="s">
        <v>816</v>
      </c>
      <c r="U74" s="41" t="s">
        <v>28</v>
      </c>
    </row>
    <row r="75" spans="1:24" ht="12.6" customHeight="1">
      <c r="A75" s="66" t="s">
        <v>38</v>
      </c>
      <c r="B75" s="37" t="s">
        <v>167</v>
      </c>
      <c r="C75" s="2" t="s">
        <v>317</v>
      </c>
      <c r="D75" s="38">
        <v>1.4</v>
      </c>
      <c r="E75" s="184">
        <v>1.4</v>
      </c>
      <c r="F75" s="2" t="s">
        <v>39</v>
      </c>
      <c r="G75" s="68" t="s">
        <v>16</v>
      </c>
      <c r="H75" s="69">
        <v>0.22</v>
      </c>
      <c r="I75" s="2">
        <v>27.2</v>
      </c>
      <c r="J75" s="2">
        <v>72.8</v>
      </c>
      <c r="K75" s="3" t="s">
        <v>16</v>
      </c>
      <c r="L75" s="58">
        <f>AVERAGE(167,158,144,156,160,153,164,175,158,148)</f>
        <v>158.30000000000001</v>
      </c>
      <c r="M75" s="16" t="s">
        <v>1072</v>
      </c>
      <c r="N75" s="58">
        <f>AVERAGE(175,200,200,239,199,189,182,185)</f>
        <v>196.125</v>
      </c>
      <c r="O75" s="16" t="s">
        <v>1072</v>
      </c>
      <c r="P75" s="58">
        <v>220</v>
      </c>
      <c r="Q75" s="16" t="s">
        <v>1072</v>
      </c>
      <c r="R75" s="41" t="s">
        <v>30</v>
      </c>
      <c r="S75" s="58">
        <v>240</v>
      </c>
      <c r="T75" s="16" t="s">
        <v>1072</v>
      </c>
      <c r="U75" s="41" t="s">
        <v>30</v>
      </c>
    </row>
    <row r="76" spans="1:24" ht="12.6" customHeight="1">
      <c r="A76" s="60" t="s">
        <v>38</v>
      </c>
      <c r="B76" s="49" t="s">
        <v>501</v>
      </c>
      <c r="C76" s="27" t="s">
        <v>317</v>
      </c>
      <c r="D76" s="32">
        <v>1.4</v>
      </c>
      <c r="E76" s="185">
        <v>1.4</v>
      </c>
      <c r="F76" s="27" t="s">
        <v>39</v>
      </c>
      <c r="G76" s="50" t="s">
        <v>16</v>
      </c>
      <c r="H76" s="31">
        <v>0.22500000000000001</v>
      </c>
      <c r="I76" s="27">
        <v>27.2</v>
      </c>
      <c r="J76" s="27">
        <v>72.8</v>
      </c>
      <c r="K76" s="64" t="s">
        <v>16</v>
      </c>
      <c r="L76" s="52">
        <f>AVERAGE(269,255,340,330,316,310,351,360,350)</f>
        <v>320.11111111111109</v>
      </c>
      <c r="M76" s="27" t="s">
        <v>1072</v>
      </c>
      <c r="N76" s="52">
        <f>AVERAGE(310,355,380,397,395,390)</f>
        <v>371.16666666666669</v>
      </c>
      <c r="O76" s="27" t="s">
        <v>1072</v>
      </c>
      <c r="P76" s="52" t="s">
        <v>16</v>
      </c>
      <c r="Q76" s="27" t="s">
        <v>16</v>
      </c>
      <c r="R76" s="43" t="s">
        <v>16</v>
      </c>
      <c r="S76" s="52">
        <v>400</v>
      </c>
      <c r="T76" s="27" t="s">
        <v>981</v>
      </c>
      <c r="U76" s="43" t="s">
        <v>906</v>
      </c>
    </row>
    <row r="77" spans="1:24" ht="12.6" customHeight="1">
      <c r="A77" s="66" t="s">
        <v>38</v>
      </c>
      <c r="B77" s="37" t="s">
        <v>168</v>
      </c>
      <c r="C77" s="2" t="s">
        <v>318</v>
      </c>
      <c r="D77" s="38">
        <v>2</v>
      </c>
      <c r="E77" s="184">
        <v>2</v>
      </c>
      <c r="F77" s="2" t="s">
        <v>39</v>
      </c>
      <c r="G77" s="68" t="s">
        <v>16</v>
      </c>
      <c r="H77" s="69">
        <v>0.24</v>
      </c>
      <c r="I77" s="2">
        <v>50.5</v>
      </c>
      <c r="J77" s="2" t="s">
        <v>16</v>
      </c>
      <c r="K77" s="3" t="s">
        <v>16</v>
      </c>
      <c r="L77" s="58">
        <f>AVERAGE(130,145,148,150,114,150,134.128,133,140)</f>
        <v>138.23644444444443</v>
      </c>
      <c r="M77" s="16" t="s">
        <v>1072</v>
      </c>
      <c r="N77" s="58">
        <f>AVERAGE(170,178,160,150,185,175,182,143)</f>
        <v>167.875</v>
      </c>
      <c r="O77" s="16" t="s">
        <v>1072</v>
      </c>
      <c r="P77" s="58">
        <v>170</v>
      </c>
      <c r="Q77" s="16" t="s">
        <v>1072</v>
      </c>
      <c r="R77" s="41" t="s">
        <v>30</v>
      </c>
      <c r="S77" s="58">
        <v>200</v>
      </c>
      <c r="T77" s="16" t="s">
        <v>1045</v>
      </c>
      <c r="U77" s="41" t="s">
        <v>30</v>
      </c>
    </row>
    <row r="78" spans="1:24" ht="12.6" customHeight="1">
      <c r="A78" s="66" t="s">
        <v>38</v>
      </c>
      <c r="B78" s="37" t="s">
        <v>169</v>
      </c>
      <c r="C78" s="2" t="s">
        <v>318</v>
      </c>
      <c r="D78" s="38">
        <v>2</v>
      </c>
      <c r="E78" s="184">
        <v>2</v>
      </c>
      <c r="F78" s="2" t="s">
        <v>39</v>
      </c>
      <c r="G78" s="68" t="s">
        <v>16</v>
      </c>
      <c r="H78" s="69">
        <v>0.26500000000000001</v>
      </c>
      <c r="I78" s="2">
        <v>57.9</v>
      </c>
      <c r="J78" s="2">
        <v>71.8</v>
      </c>
      <c r="K78" s="3" t="s">
        <v>16</v>
      </c>
      <c r="L78" s="58">
        <f>AVERAGE(118,115,167,130,175,125,124,196)</f>
        <v>143.75</v>
      </c>
      <c r="M78" s="16" t="s">
        <v>1045</v>
      </c>
      <c r="N78" s="58">
        <f>AVERAGE(186,178,169,175,208,189,195)</f>
        <v>185.71428571428572</v>
      </c>
      <c r="O78" s="16" t="s">
        <v>1072</v>
      </c>
      <c r="P78" s="58">
        <v>220</v>
      </c>
      <c r="Q78" s="16" t="s">
        <v>1072</v>
      </c>
      <c r="R78" s="41" t="s">
        <v>30</v>
      </c>
      <c r="S78" s="58">
        <v>262</v>
      </c>
      <c r="T78" s="16" t="s">
        <v>1045</v>
      </c>
      <c r="U78" s="41" t="s">
        <v>30</v>
      </c>
    </row>
    <row r="79" spans="1:24" ht="12.6" customHeight="1">
      <c r="A79" s="60" t="s">
        <v>38</v>
      </c>
      <c r="B79" s="49" t="s">
        <v>502</v>
      </c>
      <c r="C79" s="27" t="s">
        <v>318</v>
      </c>
      <c r="D79" s="32">
        <v>2</v>
      </c>
      <c r="E79" s="185">
        <v>2</v>
      </c>
      <c r="F79" s="27" t="s">
        <v>39</v>
      </c>
      <c r="G79" s="50" t="s">
        <v>16</v>
      </c>
      <c r="H79" s="31">
        <v>0.32500000000000001</v>
      </c>
      <c r="I79" s="27">
        <v>53</v>
      </c>
      <c r="J79" s="27">
        <v>71.8</v>
      </c>
      <c r="K79" s="64" t="s">
        <v>16</v>
      </c>
      <c r="L79" s="52">
        <f>AVERAGE(310,327,329,300,305,299,330)</f>
        <v>314.28571428571428</v>
      </c>
      <c r="M79" s="27" t="s">
        <v>1072</v>
      </c>
      <c r="N79" s="52">
        <f>AVERAGE(359,366,331,393,379,375,380,380,355)</f>
        <v>368.66666666666669</v>
      </c>
      <c r="O79" s="27" t="s">
        <v>1072</v>
      </c>
      <c r="P79" s="52">
        <v>375</v>
      </c>
      <c r="Q79" s="27" t="s">
        <v>878</v>
      </c>
      <c r="R79" s="43" t="s">
        <v>906</v>
      </c>
      <c r="S79" s="52">
        <f>395*CA.US</f>
        <v>276.5</v>
      </c>
      <c r="T79" s="27" t="s">
        <v>1072</v>
      </c>
      <c r="U79" s="43" t="s">
        <v>418</v>
      </c>
    </row>
    <row r="81" spans="12:12" ht="12.6" customHeight="1">
      <c r="L81" s="11" t="s">
        <v>16</v>
      </c>
    </row>
  </sheetData>
  <sheetProtection password="990B" sheet="1" objects="1" scenarios="1"/>
  <phoneticPr fontId="0" type="noConversion"/>
  <conditionalFormatting sqref="O73 M73">
    <cfRule type="cellIs" dxfId="331" priority="4" stopIfTrue="1" operator="lessThan">
      <formula>".08-09"</formula>
    </cfRule>
  </conditionalFormatting>
  <conditionalFormatting sqref="O70 M70">
    <cfRule type="cellIs" dxfId="330" priority="1" stopIfTrue="1" operator="lessThan">
      <formula>".08-09"</formula>
    </cfRule>
  </conditionalFormatting>
  <pageMargins left="0.3" right="0" top="0.5" bottom="0" header="0.5" footer="0.511811023622047"/>
  <pageSetup orientation="landscape" r:id="rId1"/>
  <headerFooter alignWithMargins="0">
    <oddHeader>&amp;R&amp;9(&amp;P of &amp;N)</oddHead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47"/>
  <sheetViews>
    <sheetView view="pageLayout" zoomScaleNormal="100" workbookViewId="0"/>
  </sheetViews>
  <sheetFormatPr defaultRowHeight="12.6" customHeight="1"/>
  <cols>
    <col min="1" max="1" width="5.5703125" style="17" customWidth="1"/>
    <col min="2" max="2" width="21.85546875" style="179" customWidth="1"/>
    <col min="3" max="3" width="6.28515625" style="16" customWidth="1"/>
    <col min="4" max="4" width="6.7109375" style="16" customWidth="1"/>
    <col min="5" max="5" width="8" style="16" customWidth="1"/>
    <col min="6" max="6" width="4.42578125" style="16" customWidth="1"/>
    <col min="7" max="7" width="4.7109375" style="38" customWidth="1"/>
    <col min="8" max="8" width="4.7109375" style="69" customWidth="1"/>
    <col min="9" max="11" width="4.7109375" style="2" customWidth="1"/>
    <col min="12" max="12" width="5.28515625" style="2" customWidth="1"/>
    <col min="13" max="13" width="5.28515625" style="3" customWidth="1"/>
    <col min="14" max="14" width="5.28515625" style="2" customWidth="1"/>
    <col min="15" max="15" width="5.28515625" style="3" customWidth="1"/>
    <col min="16" max="16" width="5.28515625" style="2" customWidth="1"/>
    <col min="17" max="17" width="5.28515625" style="3" customWidth="1"/>
    <col min="18" max="18" width="6.5703125" style="17" customWidth="1"/>
    <col min="19" max="19" width="5.28515625" style="2" customWidth="1"/>
    <col min="20" max="20" width="5.28515625" style="3" customWidth="1"/>
    <col min="21" max="21" width="6.5703125" style="17" customWidth="1"/>
    <col min="22" max="22" width="2.28515625" style="17" customWidth="1"/>
    <col min="23" max="23" width="2.85546875" style="3" customWidth="1"/>
    <col min="24" max="16384" width="9.140625" style="17"/>
  </cols>
  <sheetData>
    <row r="1" spans="1:23" s="5" customFormat="1" ht="12.6" customHeight="1">
      <c r="A1" s="14" t="str">
        <f>i!A1</f>
        <v>Lens$db: Lens Price database</v>
      </c>
      <c r="B1" s="15"/>
      <c r="C1" s="127"/>
      <c r="D1" s="4"/>
      <c r="E1" s="127"/>
      <c r="F1" s="4"/>
      <c r="G1" s="10"/>
      <c r="H1" s="15"/>
      <c r="I1" s="11" t="s">
        <v>16</v>
      </c>
      <c r="J1" s="15"/>
      <c r="K1" s="11" t="s">
        <v>16</v>
      </c>
      <c r="L1" s="11"/>
      <c r="M1" s="12"/>
      <c r="N1" s="11"/>
      <c r="O1" s="12"/>
      <c r="P1" s="2" t="s">
        <v>16</v>
      </c>
      <c r="Q1" s="12"/>
      <c r="R1" s="2" t="str">
        <f>i!B3</f>
        <v>.2016-02-01</v>
      </c>
      <c r="S1" s="13"/>
      <c r="T1" s="12"/>
      <c r="U1" s="2" t="s">
        <v>16</v>
      </c>
      <c r="W1" s="12"/>
    </row>
    <row r="2" spans="1:23" s="5" customFormat="1" ht="12.6" customHeight="1">
      <c r="A2" s="66" t="str">
        <f>i!A3</f>
        <v>v.30</v>
      </c>
      <c r="B2" s="17" t="s">
        <v>1074</v>
      </c>
      <c r="C2" s="127"/>
      <c r="D2" s="4"/>
      <c r="E2" s="127"/>
      <c r="F2" s="4"/>
      <c r="G2" s="25"/>
      <c r="H2" s="12"/>
      <c r="I2" s="12"/>
      <c r="J2" s="12"/>
      <c r="K2" s="11"/>
      <c r="L2" s="13"/>
      <c r="M2" s="3"/>
      <c r="N2" s="27"/>
      <c r="O2" s="3"/>
      <c r="P2" s="27"/>
      <c r="Q2" s="3"/>
      <c r="R2" s="27"/>
      <c r="S2" s="27"/>
      <c r="T2" s="3"/>
      <c r="U2" s="27"/>
      <c r="W2" s="12"/>
    </row>
    <row r="3" spans="1:23" s="15" customFormat="1" ht="12.6" customHeight="1">
      <c r="C3" s="136"/>
      <c r="D3" s="178"/>
      <c r="E3" s="136"/>
      <c r="F3" s="178"/>
      <c r="G3" s="32"/>
      <c r="H3" s="30"/>
      <c r="I3" s="30"/>
      <c r="J3" s="30"/>
      <c r="K3" s="30"/>
      <c r="L3" s="33"/>
      <c r="M3" s="34"/>
      <c r="N3" s="34" t="s">
        <v>17</v>
      </c>
      <c r="O3" s="34"/>
      <c r="P3" s="166"/>
      <c r="Q3" s="140"/>
      <c r="R3" s="41" t="s">
        <v>18</v>
      </c>
      <c r="S3" s="27"/>
      <c r="T3" s="34"/>
      <c r="U3" s="43"/>
      <c r="W3" s="4"/>
    </row>
    <row r="4" spans="1:23" ht="12.6" customHeight="1">
      <c r="A4" s="15" t="s">
        <v>178</v>
      </c>
      <c r="C4" s="16" t="s">
        <v>6</v>
      </c>
      <c r="D4" s="16" t="s">
        <v>11</v>
      </c>
      <c r="E4" s="16" t="s">
        <v>909</v>
      </c>
      <c r="F4" s="154" t="s">
        <v>13</v>
      </c>
      <c r="G4" s="39" t="s">
        <v>329</v>
      </c>
      <c r="H4" s="69" t="s">
        <v>7</v>
      </c>
      <c r="I4" s="2" t="s">
        <v>380</v>
      </c>
      <c r="J4" s="2" t="s">
        <v>381</v>
      </c>
      <c r="K4" s="41" t="s">
        <v>382</v>
      </c>
      <c r="L4" s="42" t="s">
        <v>576</v>
      </c>
      <c r="M4" s="43"/>
      <c r="N4" s="44" t="s">
        <v>19</v>
      </c>
      <c r="O4" s="27"/>
      <c r="P4" s="47"/>
      <c r="Q4" s="34" t="s">
        <v>577</v>
      </c>
      <c r="R4" s="53"/>
      <c r="S4" s="180"/>
      <c r="T4" s="43" t="s">
        <v>9</v>
      </c>
      <c r="U4" s="43"/>
    </row>
    <row r="5" spans="1:23" ht="12.6" customHeight="1">
      <c r="A5" s="48" t="s">
        <v>16</v>
      </c>
      <c r="B5" s="181" t="s">
        <v>16</v>
      </c>
      <c r="C5" s="61" t="s">
        <v>20</v>
      </c>
      <c r="D5" s="61" t="s">
        <v>16</v>
      </c>
      <c r="E5" s="61" t="s">
        <v>20</v>
      </c>
      <c r="F5" s="65" t="s">
        <v>16</v>
      </c>
      <c r="G5" s="50" t="s">
        <v>37</v>
      </c>
      <c r="H5" s="31" t="s">
        <v>21</v>
      </c>
      <c r="I5" s="27" t="s">
        <v>20</v>
      </c>
      <c r="J5" s="27" t="s">
        <v>20</v>
      </c>
      <c r="K5" s="43" t="s">
        <v>20</v>
      </c>
      <c r="L5" s="52" t="s">
        <v>22</v>
      </c>
      <c r="M5" s="43" t="s">
        <v>23</v>
      </c>
      <c r="N5" s="27" t="s">
        <v>22</v>
      </c>
      <c r="O5" s="43" t="s">
        <v>23</v>
      </c>
      <c r="P5" s="52" t="s">
        <v>22</v>
      </c>
      <c r="Q5" s="27" t="s">
        <v>23</v>
      </c>
      <c r="R5" s="43" t="s">
        <v>24</v>
      </c>
      <c r="S5" s="46" t="s">
        <v>22</v>
      </c>
      <c r="T5" s="34" t="s">
        <v>23</v>
      </c>
      <c r="U5" s="53" t="s">
        <v>24</v>
      </c>
    </row>
    <row r="6" spans="1:23" ht="12.6" customHeight="1">
      <c r="A6" s="17" t="s">
        <v>963</v>
      </c>
      <c r="B6" s="179" t="s">
        <v>964</v>
      </c>
      <c r="C6" s="16" t="s">
        <v>965</v>
      </c>
      <c r="D6" s="73">
        <v>4</v>
      </c>
      <c r="E6" s="16" t="s">
        <v>966</v>
      </c>
      <c r="F6" s="67" t="s">
        <v>39</v>
      </c>
      <c r="G6" s="68">
        <v>0.28000000000000003</v>
      </c>
      <c r="H6" s="69">
        <v>1.18</v>
      </c>
      <c r="I6" s="2">
        <v>132</v>
      </c>
      <c r="J6" s="2">
        <v>109.2</v>
      </c>
      <c r="K6" s="2" t="s">
        <v>31</v>
      </c>
      <c r="L6" s="71">
        <f>AVERAGE(2400,2635,2605,2606,2579,2376)</f>
        <v>2533.5</v>
      </c>
      <c r="M6" s="72" t="s">
        <v>1072</v>
      </c>
      <c r="N6" s="147">
        <f>AVERAGE(3099,2999,3000,3050,3000,3050)</f>
        <v>3033</v>
      </c>
      <c r="O6" s="2" t="s">
        <v>981</v>
      </c>
      <c r="P6" s="58" t="s">
        <v>16</v>
      </c>
      <c r="Q6" s="2" t="s">
        <v>16</v>
      </c>
      <c r="R6" s="41" t="s">
        <v>16</v>
      </c>
      <c r="S6" s="147">
        <v>3000</v>
      </c>
      <c r="T6" s="2" t="s">
        <v>1045</v>
      </c>
      <c r="U6" s="41" t="s">
        <v>30</v>
      </c>
    </row>
    <row r="7" spans="1:23" s="5" customFormat="1" ht="12.6" customHeight="1">
      <c r="A7" s="66" t="s">
        <v>38</v>
      </c>
      <c r="B7" s="17" t="s">
        <v>47</v>
      </c>
      <c r="C7" s="3" t="s">
        <v>48</v>
      </c>
      <c r="D7" s="3">
        <v>2.8</v>
      </c>
      <c r="E7" s="3" t="s">
        <v>49</v>
      </c>
      <c r="F7" s="67" t="s">
        <v>39</v>
      </c>
      <c r="G7" s="68">
        <v>0.28000000000000003</v>
      </c>
      <c r="H7" s="69">
        <v>0.6</v>
      </c>
      <c r="I7" s="2">
        <v>103</v>
      </c>
      <c r="J7" s="2">
        <v>83.5</v>
      </c>
      <c r="K7" s="3">
        <v>77</v>
      </c>
      <c r="L7" s="58">
        <f>AVERAGE(720,700,800,650,550,746,725,798,885,652)</f>
        <v>722.6</v>
      </c>
      <c r="M7" s="160" t="s">
        <v>1072</v>
      </c>
      <c r="N7" s="58">
        <f>AVERAGE(1000,895,960,922,975,910,1027,1015,1000,1036)</f>
        <v>974</v>
      </c>
      <c r="O7" s="16" t="s">
        <v>1072</v>
      </c>
      <c r="P7" s="58">
        <v>880</v>
      </c>
      <c r="Q7" s="16" t="s">
        <v>1072</v>
      </c>
      <c r="R7" s="41" t="s">
        <v>30</v>
      </c>
      <c r="S7" s="58">
        <v>1170</v>
      </c>
      <c r="T7" s="16" t="s">
        <v>981</v>
      </c>
      <c r="U7" s="41" t="s">
        <v>30</v>
      </c>
      <c r="W7" s="12"/>
    </row>
    <row r="8" spans="1:23" s="5" customFormat="1" ht="12.6" customHeight="1">
      <c r="A8" s="66" t="s">
        <v>38</v>
      </c>
      <c r="B8" s="17" t="s">
        <v>246</v>
      </c>
      <c r="C8" s="3" t="s">
        <v>48</v>
      </c>
      <c r="D8" s="3">
        <v>2.8</v>
      </c>
      <c r="E8" s="3" t="s">
        <v>49</v>
      </c>
      <c r="F8" s="67" t="s">
        <v>39</v>
      </c>
      <c r="G8" s="68">
        <v>0.28000000000000003</v>
      </c>
      <c r="H8" s="69">
        <v>0.63500000000000001</v>
      </c>
      <c r="I8" s="2">
        <v>111.6</v>
      </c>
      <c r="J8" s="2">
        <v>88</v>
      </c>
      <c r="K8" s="3">
        <v>82</v>
      </c>
      <c r="L8" s="58">
        <f>AVERAGE(875,950,909,940,921,970,971,890,945,922)</f>
        <v>929.3</v>
      </c>
      <c r="M8" s="160" t="s">
        <v>1072</v>
      </c>
      <c r="N8" s="58">
        <f>AVERAGE(1039,1069,1200,1225,1360,1087,1105,1275,1195)</f>
        <v>1172.7777777777778</v>
      </c>
      <c r="O8" s="16" t="s">
        <v>1072</v>
      </c>
      <c r="P8" s="58">
        <v>1175</v>
      </c>
      <c r="Q8" s="16" t="s">
        <v>1072</v>
      </c>
      <c r="R8" s="41" t="s">
        <v>33</v>
      </c>
      <c r="S8" s="58">
        <v>1190</v>
      </c>
      <c r="T8" s="16" t="s">
        <v>1072</v>
      </c>
      <c r="U8" s="41" t="s">
        <v>906</v>
      </c>
      <c r="W8" s="12"/>
    </row>
    <row r="9" spans="1:23" s="5" customFormat="1" ht="12.6" customHeight="1">
      <c r="A9" s="66" t="s">
        <v>38</v>
      </c>
      <c r="B9" s="17" t="s">
        <v>932</v>
      </c>
      <c r="C9" s="3" t="s">
        <v>48</v>
      </c>
      <c r="D9" s="3">
        <v>4</v>
      </c>
      <c r="E9" s="3" t="s">
        <v>49</v>
      </c>
      <c r="F9" s="67" t="s">
        <v>39</v>
      </c>
      <c r="G9" s="68">
        <v>0.28000000000000003</v>
      </c>
      <c r="H9" s="69">
        <v>0.61499999999999999</v>
      </c>
      <c r="I9" s="2">
        <v>112.8</v>
      </c>
      <c r="J9" s="2">
        <v>82.6</v>
      </c>
      <c r="K9" s="3">
        <v>77</v>
      </c>
      <c r="L9" s="58">
        <f>AVERAGE(886,718,764,750,897,799,885,800)</f>
        <v>812.375</v>
      </c>
      <c r="M9" s="160" t="s">
        <v>1072</v>
      </c>
      <c r="N9" s="58">
        <f>AVERAGE(910,970,1099,1000,1099,1170,1136,1151)</f>
        <v>1066.875</v>
      </c>
      <c r="O9" s="16" t="s">
        <v>1033</v>
      </c>
      <c r="P9" s="58" t="s">
        <v>16</v>
      </c>
      <c r="Q9" s="16" t="s">
        <v>16</v>
      </c>
      <c r="R9" s="41" t="s">
        <v>16</v>
      </c>
      <c r="S9" s="147">
        <v>1050</v>
      </c>
      <c r="T9" s="16" t="s">
        <v>1072</v>
      </c>
      <c r="U9" s="41" t="s">
        <v>30</v>
      </c>
      <c r="W9" s="12"/>
    </row>
    <row r="10" spans="1:23" s="5" customFormat="1" ht="12.6" customHeight="1">
      <c r="A10" s="66" t="s">
        <v>38</v>
      </c>
      <c r="B10" s="17" t="s">
        <v>50</v>
      </c>
      <c r="C10" s="3" t="s">
        <v>51</v>
      </c>
      <c r="D10" s="3">
        <v>2.8</v>
      </c>
      <c r="E10" s="3" t="s">
        <v>52</v>
      </c>
      <c r="F10" s="67" t="s">
        <v>39</v>
      </c>
      <c r="G10" s="68">
        <v>0.42</v>
      </c>
      <c r="H10" s="69">
        <v>0.54500000000000004</v>
      </c>
      <c r="I10" s="2">
        <v>95.7</v>
      </c>
      <c r="J10" s="2">
        <v>83.5</v>
      </c>
      <c r="K10" s="3">
        <v>77</v>
      </c>
      <c r="L10" s="58">
        <f>AVERAGE(480,450,489,380,405,510,540,455,404,460)</f>
        <v>457.3</v>
      </c>
      <c r="M10" s="160" t="s">
        <v>1072</v>
      </c>
      <c r="N10" s="58">
        <f>AVERAGE(512,542,600.58,625,620,600,603)</f>
        <v>586.08285714285716</v>
      </c>
      <c r="O10" s="16" t="s">
        <v>1072</v>
      </c>
      <c r="P10" s="58">
        <v>730</v>
      </c>
      <c r="Q10" s="16" t="s">
        <v>981</v>
      </c>
      <c r="R10" s="41" t="s">
        <v>30</v>
      </c>
      <c r="S10" s="58">
        <v>595</v>
      </c>
      <c r="T10" s="16" t="s">
        <v>1072</v>
      </c>
      <c r="U10" s="41" t="s">
        <v>29</v>
      </c>
      <c r="W10" s="12"/>
    </row>
    <row r="11" spans="1:23" s="5" customFormat="1" ht="12.6" customHeight="1">
      <c r="A11" s="66" t="s">
        <v>38</v>
      </c>
      <c r="B11" s="17" t="s">
        <v>53</v>
      </c>
      <c r="C11" s="3" t="s">
        <v>54</v>
      </c>
      <c r="D11" s="3">
        <v>4</v>
      </c>
      <c r="E11" s="3" t="s">
        <v>55</v>
      </c>
      <c r="F11" s="67" t="s">
        <v>39</v>
      </c>
      <c r="G11" s="68">
        <v>0.28000000000000003</v>
      </c>
      <c r="H11" s="69">
        <v>0.5</v>
      </c>
      <c r="I11" s="2">
        <v>96.8</v>
      </c>
      <c r="J11" s="2">
        <v>83.5</v>
      </c>
      <c r="K11" s="3">
        <v>77</v>
      </c>
      <c r="L11" s="58">
        <f>AVERAGE(416,435,370,410,417,400,405,444,400,463)</f>
        <v>416</v>
      </c>
      <c r="M11" s="160" t="s">
        <v>1072</v>
      </c>
      <c r="N11" s="58">
        <f>AVERAGE(479,532,501,520,500,565,499,520)</f>
        <v>514.5</v>
      </c>
      <c r="O11" s="16" t="s">
        <v>1072</v>
      </c>
      <c r="P11" s="58">
        <v>535</v>
      </c>
      <c r="Q11" s="16" t="s">
        <v>1072</v>
      </c>
      <c r="R11" s="41" t="s">
        <v>583</v>
      </c>
      <c r="S11" s="58">
        <v>600</v>
      </c>
      <c r="T11" s="16" t="s">
        <v>1072</v>
      </c>
      <c r="U11" s="41" t="s">
        <v>30</v>
      </c>
      <c r="W11" s="12"/>
    </row>
    <row r="12" spans="1:23" s="5" customFormat="1" ht="12.6" customHeight="1">
      <c r="A12" s="60" t="s">
        <v>38</v>
      </c>
      <c r="B12" s="48" t="s">
        <v>56</v>
      </c>
      <c r="C12" s="64" t="s">
        <v>57</v>
      </c>
      <c r="D12" s="64">
        <v>2.8</v>
      </c>
      <c r="E12" s="64" t="s">
        <v>58</v>
      </c>
      <c r="F12" s="65" t="s">
        <v>39</v>
      </c>
      <c r="G12" s="50">
        <v>0.5</v>
      </c>
      <c r="H12" s="31">
        <v>0.54</v>
      </c>
      <c r="I12" s="27">
        <v>79.2</v>
      </c>
      <c r="J12" s="27">
        <v>89</v>
      </c>
      <c r="K12" s="64">
        <v>72</v>
      </c>
      <c r="L12" s="52">
        <f>AVERAGE(362,400,355,350,413,419)</f>
        <v>383.16666666666669</v>
      </c>
      <c r="M12" s="155" t="s">
        <v>1072</v>
      </c>
      <c r="N12" s="52">
        <f>AVERAGE(416,425,425,460,543)</f>
        <v>453.8</v>
      </c>
      <c r="O12" s="61" t="s">
        <v>1072</v>
      </c>
      <c r="P12" s="52">
        <v>470</v>
      </c>
      <c r="Q12" s="61" t="s">
        <v>917</v>
      </c>
      <c r="R12" s="43" t="s">
        <v>33</v>
      </c>
      <c r="S12" s="52">
        <v>795</v>
      </c>
      <c r="T12" s="61" t="s">
        <v>686</v>
      </c>
      <c r="U12" s="43" t="s">
        <v>29</v>
      </c>
      <c r="W12" s="12"/>
    </row>
    <row r="13" spans="1:23" s="5" customFormat="1" ht="12.6" customHeight="1">
      <c r="A13" s="66" t="s">
        <v>38</v>
      </c>
      <c r="B13" s="17" t="s">
        <v>59</v>
      </c>
      <c r="C13" s="3" t="s">
        <v>60</v>
      </c>
      <c r="D13" s="3">
        <v>2.8</v>
      </c>
      <c r="E13" s="3" t="s">
        <v>61</v>
      </c>
      <c r="F13" s="67" t="s">
        <v>39</v>
      </c>
      <c r="G13" s="68">
        <v>0.38</v>
      </c>
      <c r="H13" s="69">
        <v>0.95</v>
      </c>
      <c r="I13" s="2">
        <v>123.5</v>
      </c>
      <c r="J13" s="2">
        <v>83.2</v>
      </c>
      <c r="K13" s="3">
        <v>77</v>
      </c>
      <c r="L13" s="58">
        <f>AVERAGE(743,775,750,763,772,832,790,710,811)</f>
        <v>771.77777777777783</v>
      </c>
      <c r="M13" s="16" t="s">
        <v>1072</v>
      </c>
      <c r="N13" s="58">
        <f>AVERAGE(1125,1099,830,880,902,920,1076,920)</f>
        <v>969</v>
      </c>
      <c r="O13" s="16" t="s">
        <v>1072</v>
      </c>
      <c r="P13" s="58">
        <v>1120</v>
      </c>
      <c r="Q13" s="16" t="s">
        <v>1072</v>
      </c>
      <c r="R13" s="41" t="s">
        <v>30</v>
      </c>
      <c r="S13" s="58">
        <v>975</v>
      </c>
      <c r="T13" s="16" t="s">
        <v>1072</v>
      </c>
      <c r="U13" s="41" t="s">
        <v>29</v>
      </c>
      <c r="W13" s="12"/>
    </row>
    <row r="14" spans="1:23" s="5" customFormat="1" ht="12.6" customHeight="1">
      <c r="A14" s="66" t="s">
        <v>38</v>
      </c>
      <c r="B14" s="17" t="s">
        <v>614</v>
      </c>
      <c r="C14" s="3" t="s">
        <v>60</v>
      </c>
      <c r="D14" s="3">
        <v>2.8</v>
      </c>
      <c r="E14" s="3" t="s">
        <v>61</v>
      </c>
      <c r="F14" s="67" t="s">
        <v>39</v>
      </c>
      <c r="G14" s="68">
        <v>0.38</v>
      </c>
      <c r="H14" s="69">
        <v>0.80300000000000005</v>
      </c>
      <c r="I14" s="2">
        <v>111.8</v>
      </c>
      <c r="J14" s="2">
        <v>88.9</v>
      </c>
      <c r="K14" s="3">
        <v>82</v>
      </c>
      <c r="L14" s="58">
        <f>AVERAGE(1350,1370,1302,1365,1275,1426,1499,1499,1350)</f>
        <v>1381.7777777777778</v>
      </c>
      <c r="M14" s="16" t="s">
        <v>1072</v>
      </c>
      <c r="N14" s="58">
        <f>AVERAGE(1700,1527,1525,1655,1600,1675,1599,1650,1673,1650)</f>
        <v>1625.4</v>
      </c>
      <c r="O14" s="16" t="s">
        <v>1072</v>
      </c>
      <c r="P14" s="58">
        <v>1410</v>
      </c>
      <c r="Q14" s="16" t="s">
        <v>1072</v>
      </c>
      <c r="R14" s="41" t="s">
        <v>906</v>
      </c>
      <c r="S14" s="58">
        <v>1520</v>
      </c>
      <c r="T14" s="16" t="s">
        <v>1072</v>
      </c>
      <c r="U14" s="41" t="s">
        <v>906</v>
      </c>
      <c r="W14" s="12"/>
    </row>
    <row r="15" spans="1:23" s="5" customFormat="1" ht="12.6" customHeight="1">
      <c r="A15" s="66" t="s">
        <v>38</v>
      </c>
      <c r="B15" s="17" t="s">
        <v>724</v>
      </c>
      <c r="C15" s="3" t="s">
        <v>60</v>
      </c>
      <c r="D15" s="3">
        <v>4</v>
      </c>
      <c r="E15" s="3" t="s">
        <v>61</v>
      </c>
      <c r="F15" s="67" t="s">
        <v>39</v>
      </c>
      <c r="G15" s="68">
        <v>0.2</v>
      </c>
      <c r="H15" s="69">
        <v>0.6</v>
      </c>
      <c r="I15" s="2">
        <v>94</v>
      </c>
      <c r="J15" s="2">
        <v>83.8</v>
      </c>
      <c r="K15" s="3">
        <v>77</v>
      </c>
      <c r="L15" s="58">
        <f>AVERAGE(560,561,495,595,635,650,591,660,675)</f>
        <v>602.44444444444446</v>
      </c>
      <c r="M15" s="16" t="s">
        <v>1072</v>
      </c>
      <c r="N15" s="58">
        <f>AVERAGE(770,650,691,710,750,735,750,725,700,698)</f>
        <v>717.9</v>
      </c>
      <c r="O15" s="16" t="s">
        <v>1072</v>
      </c>
      <c r="P15" s="58">
        <v>700</v>
      </c>
      <c r="Q15" s="16" t="s">
        <v>1045</v>
      </c>
      <c r="R15" s="41" t="s">
        <v>33</v>
      </c>
      <c r="S15" s="58">
        <f>825*CA.US</f>
        <v>577.5</v>
      </c>
      <c r="T15" s="16" t="s">
        <v>1072</v>
      </c>
      <c r="U15" s="41" t="s">
        <v>418</v>
      </c>
      <c r="W15" s="12"/>
    </row>
    <row r="16" spans="1:23" s="5" customFormat="1" ht="12.6" customHeight="1">
      <c r="A16" s="66" t="s">
        <v>38</v>
      </c>
      <c r="B16" s="17" t="s">
        <v>287</v>
      </c>
      <c r="C16" s="3" t="s">
        <v>62</v>
      </c>
      <c r="D16" s="3">
        <v>4</v>
      </c>
      <c r="E16" s="3" t="s">
        <v>63</v>
      </c>
      <c r="F16" s="67" t="s">
        <v>39</v>
      </c>
      <c r="G16" s="68">
        <v>0.45</v>
      </c>
      <c r="H16" s="69">
        <v>0.67</v>
      </c>
      <c r="I16" s="2">
        <v>107</v>
      </c>
      <c r="J16" s="2">
        <v>83.5</v>
      </c>
      <c r="K16" s="3">
        <v>77</v>
      </c>
      <c r="L16" s="58">
        <f>AVERAGE(460,455,455,485,470,475,469,405,451,465)</f>
        <v>459</v>
      </c>
      <c r="M16" s="16" t="s">
        <v>1072</v>
      </c>
      <c r="N16" s="58">
        <f>AVERAGE(524,599,517,510,525,540,503,580,556)</f>
        <v>539.33333333333337</v>
      </c>
      <c r="O16" s="16" t="s">
        <v>1072</v>
      </c>
      <c r="P16" s="58">
        <v>475</v>
      </c>
      <c r="Q16" s="16" t="s">
        <v>1072</v>
      </c>
      <c r="R16" s="41" t="s">
        <v>28</v>
      </c>
      <c r="S16" s="58">
        <v>620</v>
      </c>
      <c r="T16" s="16" t="s">
        <v>1072</v>
      </c>
      <c r="U16" s="41" t="s">
        <v>906</v>
      </c>
      <c r="W16" s="12"/>
    </row>
    <row r="17" spans="1:23" s="5" customFormat="1" ht="12.6" customHeight="1">
      <c r="A17" s="66" t="s">
        <v>38</v>
      </c>
      <c r="B17" s="17" t="s">
        <v>64</v>
      </c>
      <c r="C17" s="3" t="s">
        <v>65</v>
      </c>
      <c r="D17" s="3">
        <v>2.8</v>
      </c>
      <c r="E17" s="3" t="s">
        <v>66</v>
      </c>
      <c r="F17" s="67" t="s">
        <v>39</v>
      </c>
      <c r="G17" s="68">
        <v>0.5</v>
      </c>
      <c r="H17" s="69">
        <v>0.88</v>
      </c>
      <c r="I17" s="2">
        <v>117.6</v>
      </c>
      <c r="J17" s="2">
        <v>83.2</v>
      </c>
      <c r="K17" s="3">
        <v>77</v>
      </c>
      <c r="L17" s="58">
        <f>AVERAGE(457,465,559,540,476,549,461,495,599,552,471)</f>
        <v>511.27272727272725</v>
      </c>
      <c r="M17" s="16" t="s">
        <v>1072</v>
      </c>
      <c r="N17" s="58">
        <f>AVERAGE(616,575,610,559,551,625,690)</f>
        <v>603.71428571428567</v>
      </c>
      <c r="O17" s="16" t="s">
        <v>1072</v>
      </c>
      <c r="P17" s="58">
        <v>620</v>
      </c>
      <c r="Q17" s="16" t="s">
        <v>1072</v>
      </c>
      <c r="R17" s="41" t="s">
        <v>30</v>
      </c>
      <c r="S17" s="58">
        <v>730</v>
      </c>
      <c r="T17" s="16" t="s">
        <v>1072</v>
      </c>
      <c r="U17" s="41" t="s">
        <v>30</v>
      </c>
      <c r="W17" s="12"/>
    </row>
    <row r="18" spans="1:23" s="5" customFormat="1" ht="12.6" customHeight="1">
      <c r="A18" s="60" t="s">
        <v>38</v>
      </c>
      <c r="B18" s="48" t="s">
        <v>67</v>
      </c>
      <c r="C18" s="64" t="s">
        <v>68</v>
      </c>
      <c r="D18" s="64" t="s">
        <v>69</v>
      </c>
      <c r="E18" s="64" t="s">
        <v>70</v>
      </c>
      <c r="F18" s="65" t="s">
        <v>39</v>
      </c>
      <c r="G18" s="50">
        <v>0.3</v>
      </c>
      <c r="H18" s="31">
        <v>0.94499999999999995</v>
      </c>
      <c r="I18" s="27">
        <v>119.5</v>
      </c>
      <c r="J18" s="27">
        <v>84</v>
      </c>
      <c r="K18" s="64">
        <v>72</v>
      </c>
      <c r="L18" s="52">
        <f>AVERAGE(312,380,437,310,426,482,407,490,499,338)</f>
        <v>408.1</v>
      </c>
      <c r="M18" s="61" t="s">
        <v>1072</v>
      </c>
      <c r="N18" s="52">
        <f>AVERAGE(550,550,523,580,620,600,510,592,531)</f>
        <v>561.77777777777783</v>
      </c>
      <c r="O18" s="61" t="s">
        <v>981</v>
      </c>
      <c r="P18" s="52">
        <v>530</v>
      </c>
      <c r="Q18" s="61" t="s">
        <v>1072</v>
      </c>
      <c r="R18" s="43" t="s">
        <v>30</v>
      </c>
      <c r="S18" s="52">
        <v>800</v>
      </c>
      <c r="T18" s="61" t="s">
        <v>491</v>
      </c>
      <c r="U18" s="43" t="s">
        <v>33</v>
      </c>
      <c r="W18" s="12"/>
    </row>
    <row r="19" spans="1:23" s="5" customFormat="1" ht="12.6" customHeight="1">
      <c r="A19" s="66" t="s">
        <v>38</v>
      </c>
      <c r="B19" s="17" t="s">
        <v>71</v>
      </c>
      <c r="C19" s="3" t="s">
        <v>72</v>
      </c>
      <c r="D19" s="3">
        <v>2.8</v>
      </c>
      <c r="E19" s="3" t="s">
        <v>73</v>
      </c>
      <c r="F19" s="67" t="s">
        <v>39</v>
      </c>
      <c r="G19" s="68">
        <v>1.5</v>
      </c>
      <c r="H19" s="69">
        <v>1.31</v>
      </c>
      <c r="I19" s="2">
        <v>193.6</v>
      </c>
      <c r="J19" s="2">
        <v>84.6</v>
      </c>
      <c r="K19" s="3">
        <v>77</v>
      </c>
      <c r="L19" s="58">
        <f xml:space="preserve"> AVERAGE(757,800,780,860,770,840,786,850)</f>
        <v>805.375</v>
      </c>
      <c r="M19" s="16" t="s">
        <v>1072</v>
      </c>
      <c r="N19" s="58">
        <f>AVERAGE(1000,860,1150,1000,1027,1025,1100,1135,1009,1025)</f>
        <v>1033.0999999999999</v>
      </c>
      <c r="O19" s="16" t="s">
        <v>1072</v>
      </c>
      <c r="P19" s="58">
        <v>980</v>
      </c>
      <c r="Q19" s="16" t="s">
        <v>1072</v>
      </c>
      <c r="R19" s="41" t="s">
        <v>906</v>
      </c>
      <c r="S19" s="58">
        <v>1070</v>
      </c>
      <c r="T19" s="16" t="s">
        <v>1072</v>
      </c>
      <c r="U19" s="41" t="s">
        <v>33</v>
      </c>
      <c r="W19" s="12"/>
    </row>
    <row r="20" spans="1:23" s="5" customFormat="1" ht="12.6" customHeight="1">
      <c r="A20" s="66" t="s">
        <v>38</v>
      </c>
      <c r="B20" s="17" t="s">
        <v>74</v>
      </c>
      <c r="C20" s="3" t="s">
        <v>72</v>
      </c>
      <c r="D20" s="3">
        <v>2.8</v>
      </c>
      <c r="E20" s="3" t="s">
        <v>73</v>
      </c>
      <c r="F20" s="67" t="s">
        <v>39</v>
      </c>
      <c r="G20" s="68">
        <v>1.4</v>
      </c>
      <c r="H20" s="69">
        <v>1.59</v>
      </c>
      <c r="I20" s="2">
        <v>197</v>
      </c>
      <c r="J20" s="2">
        <v>86.2</v>
      </c>
      <c r="K20" s="3">
        <v>77</v>
      </c>
      <c r="L20" s="58">
        <f>AVERAGE(1022,950,900,1080,1050,1175,1100,1076)</f>
        <v>1044.125</v>
      </c>
      <c r="M20" s="16" t="s">
        <v>1072</v>
      </c>
      <c r="N20" s="58">
        <f>AVERAGE(1275,1190,1312,1279,1224,1202,1300,1125,1225,1289)</f>
        <v>1242.0999999999999</v>
      </c>
      <c r="O20" s="16" t="s">
        <v>1072</v>
      </c>
      <c r="P20" s="58">
        <v>1300</v>
      </c>
      <c r="Q20" s="16" t="s">
        <v>1072</v>
      </c>
      <c r="R20" s="41" t="s">
        <v>32</v>
      </c>
      <c r="S20" s="58">
        <v>1480</v>
      </c>
      <c r="T20" s="16" t="s">
        <v>1072</v>
      </c>
      <c r="U20" s="41" t="s">
        <v>30</v>
      </c>
      <c r="W20" s="12"/>
    </row>
    <row r="21" spans="1:23" s="5" customFormat="1" ht="12.6" customHeight="1">
      <c r="A21" s="66" t="s">
        <v>38</v>
      </c>
      <c r="B21" s="17" t="s">
        <v>492</v>
      </c>
      <c r="C21" s="3" t="s">
        <v>72</v>
      </c>
      <c r="D21" s="3">
        <v>2.8</v>
      </c>
      <c r="E21" s="3" t="s">
        <v>73</v>
      </c>
      <c r="F21" s="67" t="s">
        <v>39</v>
      </c>
      <c r="G21" s="68">
        <v>1.2</v>
      </c>
      <c r="H21" s="69">
        <v>1.49</v>
      </c>
      <c r="I21" s="2">
        <v>199</v>
      </c>
      <c r="J21" s="2">
        <v>88.8</v>
      </c>
      <c r="K21" s="3">
        <v>77</v>
      </c>
      <c r="L21" s="58">
        <f>AVERAGE(1500,1351,1495,1580,1501,1575,1600,1600,1581,1575)</f>
        <v>1535.8</v>
      </c>
      <c r="M21" s="16" t="s">
        <v>1072</v>
      </c>
      <c r="N21" s="58">
        <f>AVERAGE(1650,1632,1799,1713,1798,1878,1825,1844,1826,1801)</f>
        <v>1776.6</v>
      </c>
      <c r="O21" s="16" t="s">
        <v>1072</v>
      </c>
      <c r="P21" s="58">
        <v>1700</v>
      </c>
      <c r="Q21" s="16" t="s">
        <v>1072</v>
      </c>
      <c r="R21" s="41" t="s">
        <v>906</v>
      </c>
      <c r="S21" s="58">
        <v>1900</v>
      </c>
      <c r="T21" s="16" t="s">
        <v>1072</v>
      </c>
      <c r="U21" s="41" t="s">
        <v>30</v>
      </c>
      <c r="W21" s="12"/>
    </row>
    <row r="22" spans="1:23" s="5" customFormat="1" ht="12.6" customHeight="1">
      <c r="A22" s="66" t="s">
        <v>38</v>
      </c>
      <c r="B22" s="17" t="s">
        <v>681</v>
      </c>
      <c r="C22" s="3" t="s">
        <v>72</v>
      </c>
      <c r="D22" s="3">
        <v>4</v>
      </c>
      <c r="E22" s="3" t="s">
        <v>73</v>
      </c>
      <c r="F22" s="67" t="s">
        <v>39</v>
      </c>
      <c r="G22" s="68">
        <v>1.19</v>
      </c>
      <c r="H22" s="69">
        <v>0.71</v>
      </c>
      <c r="I22" s="2">
        <v>173</v>
      </c>
      <c r="J22" s="2">
        <v>77</v>
      </c>
      <c r="K22" s="3">
        <v>67</v>
      </c>
      <c r="L22" s="58">
        <f>AVERAGE(393,384,440,388,426,410,403,415,435,385)</f>
        <v>407.9</v>
      </c>
      <c r="M22" s="16" t="s">
        <v>1072</v>
      </c>
      <c r="N22" s="58">
        <f>AVERAGE(480,485,497,465,520,510,515,500,541,511)</f>
        <v>502.4</v>
      </c>
      <c r="O22" s="16" t="s">
        <v>1072</v>
      </c>
      <c r="P22" s="58">
        <v>470</v>
      </c>
      <c r="Q22" s="16" t="s">
        <v>1072</v>
      </c>
      <c r="R22" s="41" t="s">
        <v>30</v>
      </c>
      <c r="S22" s="58">
        <v>695</v>
      </c>
      <c r="T22" s="16" t="s">
        <v>1045</v>
      </c>
      <c r="U22" s="41" t="s">
        <v>28</v>
      </c>
      <c r="W22" s="12"/>
    </row>
    <row r="23" spans="1:23" s="5" customFormat="1" ht="12.6" customHeight="1">
      <c r="A23" s="66" t="s">
        <v>38</v>
      </c>
      <c r="B23" s="17" t="s">
        <v>833</v>
      </c>
      <c r="C23" s="3" t="s">
        <v>72</v>
      </c>
      <c r="D23" s="3">
        <v>4</v>
      </c>
      <c r="E23" s="3" t="s">
        <v>73</v>
      </c>
      <c r="F23" s="67" t="s">
        <v>39</v>
      </c>
      <c r="G23" s="68">
        <v>1.2</v>
      </c>
      <c r="H23" s="69">
        <v>0.76</v>
      </c>
      <c r="I23" s="2">
        <v>172</v>
      </c>
      <c r="J23" s="2">
        <v>76</v>
      </c>
      <c r="K23" s="3">
        <v>67</v>
      </c>
      <c r="L23" s="58">
        <f>AVERAGE(735,665,645,650,686,779,735,711,700,730,767)</f>
        <v>709.36363636363637</v>
      </c>
      <c r="M23" s="16" t="s">
        <v>1072</v>
      </c>
      <c r="N23" s="58">
        <f>AVERAGE(850,812,846,849,909.81,876,899,880,858)</f>
        <v>864.42333333333329</v>
      </c>
      <c r="O23" s="16" t="s">
        <v>1072</v>
      </c>
      <c r="P23" s="58">
        <v>755</v>
      </c>
      <c r="Q23" s="16" t="s">
        <v>1072</v>
      </c>
      <c r="R23" s="41" t="s">
        <v>30</v>
      </c>
      <c r="S23" s="58">
        <v>695</v>
      </c>
      <c r="T23" s="16" t="s">
        <v>1072</v>
      </c>
      <c r="U23" s="41" t="s">
        <v>28</v>
      </c>
      <c r="W23" s="12"/>
    </row>
    <row r="24" spans="1:23" s="5" customFormat="1" ht="12.6" customHeight="1">
      <c r="A24" s="66" t="s">
        <v>38</v>
      </c>
      <c r="B24" s="17" t="s">
        <v>75</v>
      </c>
      <c r="C24" s="3" t="s">
        <v>76</v>
      </c>
      <c r="D24" s="3">
        <v>2.8</v>
      </c>
      <c r="E24" s="3" t="s">
        <v>77</v>
      </c>
      <c r="F24" s="67" t="s">
        <v>39</v>
      </c>
      <c r="G24" s="68" t="s">
        <v>78</v>
      </c>
      <c r="H24" s="69">
        <v>1.33</v>
      </c>
      <c r="I24" s="2">
        <v>186</v>
      </c>
      <c r="J24" s="2">
        <v>84</v>
      </c>
      <c r="K24" s="3">
        <v>72</v>
      </c>
      <c r="L24" s="58">
        <f>AVERAGE(460,485,528,575,595,520,562,575,560,560)</f>
        <v>542</v>
      </c>
      <c r="M24" s="16" t="s">
        <v>1072</v>
      </c>
      <c r="N24" s="58">
        <f>AVERAGE(670,577,598,590,670,689,755,710)</f>
        <v>657.375</v>
      </c>
      <c r="O24" s="16" t="s">
        <v>1072</v>
      </c>
      <c r="P24" s="58">
        <v>822</v>
      </c>
      <c r="Q24" s="16" t="s">
        <v>1072</v>
      </c>
      <c r="R24" s="41" t="s">
        <v>30</v>
      </c>
      <c r="S24" s="58" t="s">
        <v>16</v>
      </c>
      <c r="T24" s="16" t="s">
        <v>16</v>
      </c>
      <c r="U24" s="41" t="s">
        <v>16</v>
      </c>
      <c r="W24" s="12"/>
    </row>
    <row r="25" spans="1:23" s="5" customFormat="1" ht="12.6" customHeight="1">
      <c r="A25" s="60" t="s">
        <v>38</v>
      </c>
      <c r="B25" s="48" t="s">
        <v>545</v>
      </c>
      <c r="C25" s="64" t="s">
        <v>129</v>
      </c>
      <c r="D25" s="64" t="s">
        <v>544</v>
      </c>
      <c r="E25" s="64" t="s">
        <v>216</v>
      </c>
      <c r="F25" s="65" t="s">
        <v>39</v>
      </c>
      <c r="G25" s="50">
        <v>2</v>
      </c>
      <c r="H25" s="31">
        <v>3.62</v>
      </c>
      <c r="I25" s="27">
        <v>366</v>
      </c>
      <c r="J25" s="27">
        <v>128</v>
      </c>
      <c r="K25" s="64" t="s">
        <v>804</v>
      </c>
      <c r="L25" s="58">
        <f>AVERAGE(7087,7878,7600,9850,9950)</f>
        <v>8473</v>
      </c>
      <c r="M25" s="61" t="s">
        <v>1033</v>
      </c>
      <c r="N25" s="147">
        <f>AVERAGE(8000,9196,9581)</f>
        <v>8925.6666666666661</v>
      </c>
      <c r="O25" s="61" t="s">
        <v>1045</v>
      </c>
      <c r="P25" s="52">
        <v>9010</v>
      </c>
      <c r="Q25" s="61" t="s">
        <v>1072</v>
      </c>
      <c r="R25" s="43" t="s">
        <v>906</v>
      </c>
      <c r="S25" s="52">
        <v>9500</v>
      </c>
      <c r="T25" s="61" t="s">
        <v>981</v>
      </c>
      <c r="U25" s="43" t="s">
        <v>32</v>
      </c>
      <c r="W25" s="12"/>
    </row>
    <row r="26" spans="1:23" ht="6" customHeight="1">
      <c r="A26" s="182" t="s">
        <v>16</v>
      </c>
      <c r="B26" s="98" t="s">
        <v>16</v>
      </c>
      <c r="C26" s="99" t="s">
        <v>16</v>
      </c>
      <c r="D26" s="99" t="s">
        <v>16</v>
      </c>
      <c r="E26" s="99" t="s">
        <v>16</v>
      </c>
      <c r="F26" s="99" t="s">
        <v>16</v>
      </c>
      <c r="G26" s="101" t="s">
        <v>16</v>
      </c>
      <c r="H26" s="102" t="s">
        <v>16</v>
      </c>
      <c r="I26" s="34" t="s">
        <v>16</v>
      </c>
      <c r="J26" s="34" t="s">
        <v>16</v>
      </c>
      <c r="K26" s="99" t="s">
        <v>16</v>
      </c>
      <c r="L26" s="34" t="s">
        <v>16</v>
      </c>
      <c r="M26" s="100" t="s">
        <v>16</v>
      </c>
      <c r="N26" s="34" t="s">
        <v>16</v>
      </c>
      <c r="O26" s="100" t="s">
        <v>16</v>
      </c>
      <c r="P26" s="34" t="s">
        <v>16</v>
      </c>
      <c r="Q26" s="100" t="s">
        <v>16</v>
      </c>
      <c r="R26" s="34" t="s">
        <v>16</v>
      </c>
      <c r="S26" s="34" t="s">
        <v>16</v>
      </c>
      <c r="T26" s="100" t="s">
        <v>16</v>
      </c>
      <c r="U26" s="34" t="s">
        <v>16</v>
      </c>
    </row>
    <row r="27" spans="1:23" s="5" customFormat="1" ht="12.6" customHeight="1">
      <c r="A27" s="66" t="s">
        <v>38</v>
      </c>
      <c r="B27" s="158" t="s">
        <v>499</v>
      </c>
      <c r="C27" s="16" t="s">
        <v>500</v>
      </c>
      <c r="D27" s="3">
        <v>4</v>
      </c>
      <c r="E27" s="16" t="s">
        <v>503</v>
      </c>
      <c r="F27" s="67" t="s">
        <v>39</v>
      </c>
      <c r="G27" s="68">
        <v>0.15</v>
      </c>
      <c r="H27" s="69">
        <v>0.54</v>
      </c>
      <c r="I27" s="2">
        <v>83</v>
      </c>
      <c r="J27" s="2">
        <v>79</v>
      </c>
      <c r="K27" s="3" t="s">
        <v>31</v>
      </c>
      <c r="L27" s="58">
        <f>AVERAGE(828,840,810,801,860,783,920,851)</f>
        <v>836.625</v>
      </c>
      <c r="M27" s="16" t="s">
        <v>1072</v>
      </c>
      <c r="N27" s="58">
        <f>AVERAGE(875,949,995,925,960,981,1001,1050,999)</f>
        <v>970.55555555555554</v>
      </c>
      <c r="O27" s="16" t="s">
        <v>1072</v>
      </c>
      <c r="P27" s="58">
        <v>810</v>
      </c>
      <c r="Q27" s="16" t="s">
        <v>1072</v>
      </c>
      <c r="R27" s="41" t="s">
        <v>906</v>
      </c>
      <c r="S27" s="58">
        <v>950</v>
      </c>
      <c r="T27" s="16" t="s">
        <v>1072</v>
      </c>
      <c r="U27" s="41" t="s">
        <v>33</v>
      </c>
      <c r="W27" s="12"/>
    </row>
    <row r="28" spans="1:23" s="5" customFormat="1" ht="12.6" customHeight="1">
      <c r="A28" s="66" t="s">
        <v>38</v>
      </c>
      <c r="B28" s="17" t="s">
        <v>79</v>
      </c>
      <c r="C28" s="3" t="s">
        <v>80</v>
      </c>
      <c r="D28" s="3" t="s">
        <v>81</v>
      </c>
      <c r="E28" s="3" t="s">
        <v>82</v>
      </c>
      <c r="F28" s="67" t="s">
        <v>39</v>
      </c>
      <c r="G28" s="68">
        <v>0.7</v>
      </c>
      <c r="H28" s="69">
        <v>1.67</v>
      </c>
      <c r="I28" s="2">
        <v>184</v>
      </c>
      <c r="J28" s="2">
        <v>92</v>
      </c>
      <c r="K28" s="3">
        <v>77</v>
      </c>
      <c r="L28" s="58">
        <f>AVERAGE(1275,1236,1334,1523,1410,1361,1550,1450)</f>
        <v>1392.375</v>
      </c>
      <c r="M28" s="16" t="s">
        <v>1072</v>
      </c>
      <c r="N28" s="58">
        <f>AVERAGE(1748,1649,1842,1800,1968,1650,1776,2000,1723)</f>
        <v>1795.1111111111111</v>
      </c>
      <c r="O28" s="16" t="s">
        <v>1072</v>
      </c>
      <c r="P28" s="58">
        <v>1650</v>
      </c>
      <c r="Q28" s="16" t="s">
        <v>1072</v>
      </c>
      <c r="R28" s="41" t="s">
        <v>906</v>
      </c>
      <c r="S28" s="58">
        <v>2000</v>
      </c>
      <c r="T28" s="16" t="s">
        <v>1072</v>
      </c>
      <c r="U28" s="41" t="s">
        <v>32</v>
      </c>
      <c r="W28" s="12"/>
    </row>
    <row r="29" spans="1:23" s="5" customFormat="1" ht="12.6" customHeight="1">
      <c r="A29" s="66" t="s">
        <v>38</v>
      </c>
      <c r="B29" s="17" t="s">
        <v>83</v>
      </c>
      <c r="C29" s="3" t="s">
        <v>84</v>
      </c>
      <c r="D29" s="3" t="s">
        <v>81</v>
      </c>
      <c r="E29" s="3" t="s">
        <v>85</v>
      </c>
      <c r="F29" s="67" t="s">
        <v>39</v>
      </c>
      <c r="G29" s="68">
        <v>0.6</v>
      </c>
      <c r="H29" s="69">
        <v>1.385</v>
      </c>
      <c r="I29" s="2">
        <v>167.4</v>
      </c>
      <c r="J29" s="2">
        <v>85</v>
      </c>
      <c r="K29" s="3">
        <v>72</v>
      </c>
      <c r="L29" s="58">
        <f>AVERAGE(750,717,800,798,729,858,739,686,798)</f>
        <v>763.88888888888891</v>
      </c>
      <c r="M29" s="160" t="s">
        <v>1072</v>
      </c>
      <c r="N29" s="12">
        <f>AVERAGE(878,868,870,976,1150,1156,1000,1085,1050,1089)</f>
        <v>1012.2</v>
      </c>
      <c r="O29" s="160" t="s">
        <v>1072</v>
      </c>
      <c r="P29" s="58">
        <v>1120</v>
      </c>
      <c r="Q29" s="16" t="s">
        <v>1072</v>
      </c>
      <c r="R29" s="41" t="s">
        <v>30</v>
      </c>
      <c r="S29" s="58">
        <v>1245</v>
      </c>
      <c r="T29" s="16" t="s">
        <v>725</v>
      </c>
      <c r="U29" s="41" t="s">
        <v>28</v>
      </c>
      <c r="W29" s="12"/>
    </row>
    <row r="30" spans="1:23" s="5" customFormat="1" ht="12.6" customHeight="1">
      <c r="A30" s="66" t="s">
        <v>38</v>
      </c>
      <c r="B30" s="17" t="s">
        <v>86</v>
      </c>
      <c r="C30" s="3" t="s">
        <v>87</v>
      </c>
      <c r="D30" s="3" t="s">
        <v>88</v>
      </c>
      <c r="E30" s="3" t="s">
        <v>89</v>
      </c>
      <c r="F30" s="67" t="s">
        <v>39</v>
      </c>
      <c r="G30" s="68">
        <v>1.2</v>
      </c>
      <c r="H30" s="69">
        <v>0.69499999999999995</v>
      </c>
      <c r="I30" s="2">
        <v>145.80000000000001</v>
      </c>
      <c r="J30" s="2">
        <v>75.599999999999994</v>
      </c>
      <c r="K30" s="3">
        <v>58</v>
      </c>
      <c r="L30" s="58">
        <f>AVERAGE(317,315,368,398,329,350,389,419,425)</f>
        <v>367.77777777777777</v>
      </c>
      <c r="M30" s="16" t="s">
        <v>1072</v>
      </c>
      <c r="N30" s="58">
        <f>AVERAGE(410,425,412,525,606,545,534)</f>
        <v>493.85714285714283</v>
      </c>
      <c r="O30" s="16" t="s">
        <v>863</v>
      </c>
      <c r="P30" s="58">
        <v>484</v>
      </c>
      <c r="Q30" s="16" t="s">
        <v>331</v>
      </c>
      <c r="R30" s="41" t="s">
        <v>30</v>
      </c>
      <c r="S30" s="58">
        <v>500</v>
      </c>
      <c r="T30" s="16" t="s">
        <v>331</v>
      </c>
      <c r="U30" s="41" t="s">
        <v>30</v>
      </c>
      <c r="W30" s="12"/>
    </row>
    <row r="31" spans="1:23" s="5" customFormat="1" ht="12.6" customHeight="1">
      <c r="A31" s="66" t="s">
        <v>38</v>
      </c>
      <c r="B31" s="17" t="s">
        <v>498</v>
      </c>
      <c r="C31" s="3" t="s">
        <v>100</v>
      </c>
      <c r="D31" s="3" t="s">
        <v>101</v>
      </c>
      <c r="E31" s="3" t="s">
        <v>102</v>
      </c>
      <c r="F31" s="67" t="s">
        <v>39</v>
      </c>
      <c r="G31" s="68">
        <v>1.2</v>
      </c>
      <c r="H31" s="69">
        <v>1.05</v>
      </c>
      <c r="I31" s="2">
        <v>143</v>
      </c>
      <c r="J31" s="2">
        <v>89</v>
      </c>
      <c r="K31" s="3">
        <v>67</v>
      </c>
      <c r="L31" s="58">
        <f>AVERAGE(700,750,732,752,773,718,850,849,811,842)</f>
        <v>777.7</v>
      </c>
      <c r="M31" s="16" t="s">
        <v>1072</v>
      </c>
      <c r="N31" s="58">
        <f>AVERAGE(939,969,950,910,950,1000,1059,1084,967)</f>
        <v>980.88888888888891</v>
      </c>
      <c r="O31" s="16" t="s">
        <v>1072</v>
      </c>
      <c r="P31" s="58">
        <v>930</v>
      </c>
      <c r="Q31" s="16" t="s">
        <v>1072</v>
      </c>
      <c r="R31" s="41" t="s">
        <v>906</v>
      </c>
      <c r="S31" s="58">
        <v>1080</v>
      </c>
      <c r="T31" s="16" t="s">
        <v>1072</v>
      </c>
      <c r="U31" s="41" t="s">
        <v>30</v>
      </c>
      <c r="W31" s="12"/>
    </row>
    <row r="32" spans="1:23" s="5" customFormat="1" ht="12.6" customHeight="1">
      <c r="A32" s="66" t="s">
        <v>38</v>
      </c>
      <c r="B32" s="17" t="s">
        <v>90</v>
      </c>
      <c r="C32" s="3" t="s">
        <v>91</v>
      </c>
      <c r="D32" s="3">
        <v>5.6</v>
      </c>
      <c r="E32" s="3" t="s">
        <v>92</v>
      </c>
      <c r="F32" s="67" t="s">
        <v>39</v>
      </c>
      <c r="G32" s="68">
        <v>1.5</v>
      </c>
      <c r="H32" s="69">
        <v>0.69499999999999995</v>
      </c>
      <c r="I32" s="2">
        <v>166.6</v>
      </c>
      <c r="J32" s="2">
        <v>75</v>
      </c>
      <c r="K32" s="3">
        <v>58</v>
      </c>
      <c r="L32" s="58">
        <f>AVERAGE(189,156,224,233,229,218,229,248)</f>
        <v>215.75</v>
      </c>
      <c r="M32" s="16" t="s">
        <v>1072</v>
      </c>
      <c r="N32" s="58">
        <f>AVERAGE(250,298,335,325,298,306,339)</f>
        <v>307.28571428571428</v>
      </c>
      <c r="O32" s="16" t="s">
        <v>1072</v>
      </c>
      <c r="P32" s="58">
        <f>329*CA.US</f>
        <v>230.29999999999998</v>
      </c>
      <c r="Q32" s="16" t="s">
        <v>981</v>
      </c>
      <c r="R32" s="41" t="s">
        <v>758</v>
      </c>
      <c r="S32" s="58">
        <v>400</v>
      </c>
      <c r="T32" s="16" t="s">
        <v>1072</v>
      </c>
      <c r="U32" s="41" t="s">
        <v>32</v>
      </c>
      <c r="W32" s="12"/>
    </row>
    <row r="33" spans="1:23" s="5" customFormat="1" ht="12.6" customHeight="1">
      <c r="A33" s="66" t="s">
        <v>38</v>
      </c>
      <c r="B33" s="17" t="s">
        <v>590</v>
      </c>
      <c r="C33" s="3" t="s">
        <v>93</v>
      </c>
      <c r="D33" s="3" t="s">
        <v>94</v>
      </c>
      <c r="E33" s="3" t="s">
        <v>95</v>
      </c>
      <c r="F33" s="67" t="s">
        <v>39</v>
      </c>
      <c r="G33" s="68">
        <v>1.8</v>
      </c>
      <c r="H33" s="69">
        <v>1.38</v>
      </c>
      <c r="I33" s="2">
        <v>189</v>
      </c>
      <c r="J33" s="2">
        <v>92</v>
      </c>
      <c r="K33" s="3">
        <v>77</v>
      </c>
      <c r="L33" s="58">
        <f>AVERAGE(720,683,725,720,745,700,730,750,781)</f>
        <v>728.22222222222217</v>
      </c>
      <c r="M33" s="16" t="s">
        <v>1072</v>
      </c>
      <c r="N33" s="58">
        <f>AVERAGE(806,850,905,975,1069,922,989,999,860)</f>
        <v>930.55555555555554</v>
      </c>
      <c r="O33" s="16" t="s">
        <v>1072</v>
      </c>
      <c r="P33" s="58">
        <v>850</v>
      </c>
      <c r="Q33" s="16" t="s">
        <v>1072</v>
      </c>
      <c r="R33" s="41" t="s">
        <v>33</v>
      </c>
      <c r="S33" s="58">
        <v>995</v>
      </c>
      <c r="T33" s="16" t="s">
        <v>1072</v>
      </c>
      <c r="U33" s="41" t="s">
        <v>28</v>
      </c>
      <c r="W33" s="12"/>
    </row>
    <row r="34" spans="1:23" s="5" customFormat="1" ht="12.6" customHeight="1">
      <c r="A34" s="60" t="s">
        <v>38</v>
      </c>
      <c r="B34" s="48" t="s">
        <v>936</v>
      </c>
      <c r="C34" s="64" t="s">
        <v>93</v>
      </c>
      <c r="D34" s="64" t="s">
        <v>94</v>
      </c>
      <c r="E34" s="64" t="s">
        <v>95</v>
      </c>
      <c r="F34" s="65" t="s">
        <v>39</v>
      </c>
      <c r="G34" s="50">
        <v>0.98</v>
      </c>
      <c r="H34" s="31">
        <v>1.57</v>
      </c>
      <c r="I34" s="27">
        <v>193</v>
      </c>
      <c r="J34" s="27">
        <v>94</v>
      </c>
      <c r="K34" s="64">
        <v>77</v>
      </c>
      <c r="L34" s="52">
        <f>AVERAGE(1726,1725,1876,1829)</f>
        <v>1789</v>
      </c>
      <c r="M34" s="27" t="s">
        <v>1072</v>
      </c>
      <c r="N34" s="52">
        <f>AVERAGE(1820,1920,1907,1949)</f>
        <v>1899</v>
      </c>
      <c r="O34" s="61" t="s">
        <v>1072</v>
      </c>
      <c r="P34" s="52" t="s">
        <v>16</v>
      </c>
      <c r="Q34" s="61" t="s">
        <v>16</v>
      </c>
      <c r="R34" s="43" t="s">
        <v>16</v>
      </c>
      <c r="S34" s="149">
        <v>2200</v>
      </c>
      <c r="T34" s="61" t="s">
        <v>981</v>
      </c>
      <c r="U34" s="43" t="s">
        <v>32</v>
      </c>
      <c r="W34" s="12"/>
    </row>
    <row r="35" spans="1:23" ht="6" customHeight="1">
      <c r="A35" s="182" t="s">
        <v>16</v>
      </c>
      <c r="B35" s="98" t="s">
        <v>96</v>
      </c>
      <c r="C35" s="99" t="s">
        <v>16</v>
      </c>
      <c r="D35" s="99" t="s">
        <v>16</v>
      </c>
      <c r="E35" s="99" t="s">
        <v>16</v>
      </c>
      <c r="F35" s="99" t="s">
        <v>16</v>
      </c>
      <c r="G35" s="101" t="s">
        <v>16</v>
      </c>
      <c r="H35" s="102" t="s">
        <v>16</v>
      </c>
      <c r="I35" s="34" t="s">
        <v>16</v>
      </c>
      <c r="J35" s="34" t="s">
        <v>16</v>
      </c>
      <c r="K35" s="99" t="s">
        <v>16</v>
      </c>
      <c r="L35" s="34" t="s">
        <v>16</v>
      </c>
      <c r="M35" s="100" t="s">
        <v>16</v>
      </c>
      <c r="N35" s="34" t="s">
        <v>16</v>
      </c>
      <c r="O35" s="100" t="s">
        <v>16</v>
      </c>
      <c r="P35" s="34" t="s">
        <v>16</v>
      </c>
      <c r="Q35" s="100" t="s">
        <v>16</v>
      </c>
      <c r="R35" s="34" t="s">
        <v>16</v>
      </c>
      <c r="S35" s="34" t="s">
        <v>16</v>
      </c>
      <c r="T35" s="100" t="s">
        <v>16</v>
      </c>
      <c r="U35" s="34" t="s">
        <v>16</v>
      </c>
    </row>
    <row r="36" spans="1:23" s="5" customFormat="1" ht="12.6" customHeight="1">
      <c r="A36" s="66" t="s">
        <v>38</v>
      </c>
      <c r="B36" s="17" t="s">
        <v>505</v>
      </c>
      <c r="C36" s="3" t="s">
        <v>506</v>
      </c>
      <c r="D36" s="3" t="s">
        <v>81</v>
      </c>
      <c r="E36" s="3" t="s">
        <v>507</v>
      </c>
      <c r="F36" s="67" t="s">
        <v>39</v>
      </c>
      <c r="G36" s="68">
        <v>0.5</v>
      </c>
      <c r="H36" s="69">
        <v>0.54</v>
      </c>
      <c r="I36" s="2">
        <v>96.8</v>
      </c>
      <c r="J36" s="2">
        <v>78.400000000000006</v>
      </c>
      <c r="K36" s="3">
        <v>72</v>
      </c>
      <c r="L36" s="58">
        <f>AVERAGE(122,153,135,144,127,138,141,150,119,138)</f>
        <v>136.69999999999999</v>
      </c>
      <c r="M36" s="16" t="s">
        <v>1072</v>
      </c>
      <c r="N36" s="58">
        <f>AVERAGE(164,167,169,175,219,234,225)</f>
        <v>193.28571428571428</v>
      </c>
      <c r="O36" s="16" t="s">
        <v>1072</v>
      </c>
      <c r="P36" s="58">
        <v>170</v>
      </c>
      <c r="Q36" s="16" t="s">
        <v>1072</v>
      </c>
      <c r="R36" s="41" t="s">
        <v>30</v>
      </c>
      <c r="S36" s="58">
        <v>220</v>
      </c>
      <c r="T36" s="16" t="s">
        <v>1072</v>
      </c>
      <c r="U36" s="41" t="s">
        <v>30</v>
      </c>
      <c r="W36" s="12"/>
    </row>
    <row r="37" spans="1:23" s="5" customFormat="1" ht="12.6" customHeight="1">
      <c r="A37" s="66" t="s">
        <v>38</v>
      </c>
      <c r="B37" s="17" t="s">
        <v>99</v>
      </c>
      <c r="C37" s="3" t="s">
        <v>100</v>
      </c>
      <c r="D37" s="3" t="s">
        <v>101</v>
      </c>
      <c r="E37" s="3" t="s">
        <v>102</v>
      </c>
      <c r="F37" s="67" t="s">
        <v>39</v>
      </c>
      <c r="G37" s="68">
        <v>1.5</v>
      </c>
      <c r="H37" s="69">
        <v>0.63</v>
      </c>
      <c r="I37" s="2">
        <v>143</v>
      </c>
      <c r="J37" s="2">
        <v>76</v>
      </c>
      <c r="K37" s="3">
        <v>58</v>
      </c>
      <c r="L37" s="58">
        <f>AVERAGE(219,200,225,179,219,211,203,258,235,219,238)</f>
        <v>218.72727272727272</v>
      </c>
      <c r="M37" s="16" t="s">
        <v>1072</v>
      </c>
      <c r="N37" s="58">
        <f>AVERAGE(250,285,280,265,375,349,309)</f>
        <v>301.85714285714283</v>
      </c>
      <c r="O37" s="16" t="s">
        <v>1072</v>
      </c>
      <c r="P37" s="58">
        <v>270</v>
      </c>
      <c r="Q37" s="16" t="s">
        <v>1072</v>
      </c>
      <c r="R37" s="41" t="s">
        <v>33</v>
      </c>
      <c r="S37" s="58">
        <v>380</v>
      </c>
      <c r="T37" s="16" t="s">
        <v>1072</v>
      </c>
      <c r="U37" s="41" t="s">
        <v>32</v>
      </c>
      <c r="W37" s="12"/>
    </row>
    <row r="38" spans="1:23" s="5" customFormat="1" ht="12.6" customHeight="1">
      <c r="A38" s="60" t="s">
        <v>38</v>
      </c>
      <c r="B38" s="48" t="s">
        <v>103</v>
      </c>
      <c r="C38" s="64" t="s">
        <v>100</v>
      </c>
      <c r="D38" s="64" t="s">
        <v>94</v>
      </c>
      <c r="E38" s="64" t="s">
        <v>102</v>
      </c>
      <c r="F38" s="65" t="s">
        <v>39</v>
      </c>
      <c r="G38" s="50">
        <v>1.4</v>
      </c>
      <c r="H38" s="31">
        <v>0.72</v>
      </c>
      <c r="I38" s="27">
        <v>99.9</v>
      </c>
      <c r="J38" s="27">
        <v>82.4</v>
      </c>
      <c r="K38" s="64">
        <v>58</v>
      </c>
      <c r="L38" s="52">
        <f>AVERAGE(411,400,402,400,300,360,349,340,495,480)</f>
        <v>393.7</v>
      </c>
      <c r="M38" s="61" t="s">
        <v>1072</v>
      </c>
      <c r="N38" s="52">
        <f>AVERAGE(499,437,528,450,485,500)</f>
        <v>483.16666666666669</v>
      </c>
      <c r="O38" s="61" t="s">
        <v>1072</v>
      </c>
      <c r="P38" s="52">
        <v>525</v>
      </c>
      <c r="Q38" s="61" t="s">
        <v>1072</v>
      </c>
      <c r="R38" s="43" t="s">
        <v>33</v>
      </c>
      <c r="S38" s="52">
        <v>600</v>
      </c>
      <c r="T38" s="61" t="s">
        <v>1072</v>
      </c>
      <c r="U38" s="43" t="s">
        <v>32</v>
      </c>
      <c r="W38" s="12"/>
    </row>
    <row r="39" spans="1:23" ht="6" customHeight="1">
      <c r="A39" s="182" t="s">
        <v>16</v>
      </c>
      <c r="B39" s="98" t="s">
        <v>96</v>
      </c>
      <c r="C39" s="99" t="s">
        <v>16</v>
      </c>
      <c r="D39" s="99" t="s">
        <v>16</v>
      </c>
      <c r="E39" s="99" t="s">
        <v>16</v>
      </c>
      <c r="F39" s="99" t="s">
        <v>16</v>
      </c>
      <c r="G39" s="101" t="s">
        <v>16</v>
      </c>
      <c r="H39" s="102" t="s">
        <v>16</v>
      </c>
      <c r="I39" s="34" t="s">
        <v>16</v>
      </c>
      <c r="J39" s="34" t="s">
        <v>16</v>
      </c>
      <c r="K39" s="99" t="s">
        <v>16</v>
      </c>
      <c r="L39" s="34" t="s">
        <v>16</v>
      </c>
      <c r="M39" s="100" t="s">
        <v>16</v>
      </c>
      <c r="N39" s="34" t="s">
        <v>16</v>
      </c>
      <c r="O39" s="100" t="s">
        <v>16</v>
      </c>
      <c r="P39" s="34" t="s">
        <v>16</v>
      </c>
      <c r="Q39" s="100" t="s">
        <v>16</v>
      </c>
      <c r="R39" s="34" t="s">
        <v>16</v>
      </c>
      <c r="S39" s="34" t="s">
        <v>16</v>
      </c>
      <c r="T39" s="100" t="s">
        <v>16</v>
      </c>
      <c r="U39" s="34" t="s">
        <v>16</v>
      </c>
    </row>
    <row r="40" spans="1:23" s="5" customFormat="1" ht="12.6" customHeight="1">
      <c r="A40" s="66" t="s">
        <v>38</v>
      </c>
      <c r="B40" s="158" t="s">
        <v>891</v>
      </c>
      <c r="C40" s="16" t="s">
        <v>892</v>
      </c>
      <c r="D40" s="3" t="s">
        <v>94</v>
      </c>
      <c r="E40" s="16" t="s">
        <v>519</v>
      </c>
      <c r="F40" s="67" t="s">
        <v>98</v>
      </c>
      <c r="G40" s="68">
        <v>0.22</v>
      </c>
      <c r="H40" s="69">
        <v>0.24</v>
      </c>
      <c r="I40" s="2">
        <v>72</v>
      </c>
      <c r="J40" s="2">
        <v>74.599999999999994</v>
      </c>
      <c r="K40" s="3">
        <v>67</v>
      </c>
      <c r="L40" s="58">
        <f>AVERAGE(213,221,230,267,230,243,233,178)</f>
        <v>226.875</v>
      </c>
      <c r="M40" s="16" t="s">
        <v>1072</v>
      </c>
      <c r="N40" s="58">
        <f>AVERAGE(250,278,315,360,250,274,299,265,275,285)</f>
        <v>285.10000000000002</v>
      </c>
      <c r="O40" s="16" t="s">
        <v>1072</v>
      </c>
      <c r="P40" s="58">
        <v>257</v>
      </c>
      <c r="Q40" s="16" t="s">
        <v>1072</v>
      </c>
      <c r="R40" s="41" t="s">
        <v>30</v>
      </c>
      <c r="S40" s="58">
        <v>268</v>
      </c>
      <c r="T40" s="16" t="s">
        <v>1072</v>
      </c>
      <c r="U40" s="41" t="s">
        <v>30</v>
      </c>
      <c r="W40" s="12"/>
    </row>
    <row r="41" spans="1:23" s="5" customFormat="1" ht="12.6" customHeight="1">
      <c r="A41" s="66" t="s">
        <v>38</v>
      </c>
      <c r="B41" s="158" t="s">
        <v>310</v>
      </c>
      <c r="C41" s="16" t="s">
        <v>97</v>
      </c>
      <c r="D41" s="3" t="s">
        <v>88</v>
      </c>
      <c r="E41" s="16" t="s">
        <v>48</v>
      </c>
      <c r="F41" s="67" t="s">
        <v>98</v>
      </c>
      <c r="G41" s="68">
        <v>0.24</v>
      </c>
      <c r="H41" s="69">
        <v>0.38500000000000001</v>
      </c>
      <c r="I41" s="2">
        <v>90</v>
      </c>
      <c r="J41" s="2">
        <v>83.5</v>
      </c>
      <c r="K41" s="3">
        <v>77</v>
      </c>
      <c r="L41" s="58">
        <f>AVERAGE(349,333,311,347,325,305,353,369)</f>
        <v>336.5</v>
      </c>
      <c r="M41" s="16" t="s">
        <v>1072</v>
      </c>
      <c r="N41" s="58">
        <f>AVERAGE(385,316,381,419,435,450,411,470,400)</f>
        <v>407.44444444444446</v>
      </c>
      <c r="O41" s="16" t="s">
        <v>1072</v>
      </c>
      <c r="P41" s="58">
        <v>313</v>
      </c>
      <c r="Q41" s="16" t="s">
        <v>1072</v>
      </c>
      <c r="R41" s="41" t="s">
        <v>30</v>
      </c>
      <c r="S41" s="58">
        <v>340</v>
      </c>
      <c r="T41" s="16" t="s">
        <v>1072</v>
      </c>
      <c r="U41" s="41" t="s">
        <v>30</v>
      </c>
      <c r="W41" s="12"/>
    </row>
    <row r="42" spans="1:23" s="5" customFormat="1" ht="12.6" customHeight="1">
      <c r="A42" s="66" t="s">
        <v>38</v>
      </c>
      <c r="B42" s="158" t="s">
        <v>385</v>
      </c>
      <c r="C42" s="16" t="s">
        <v>386</v>
      </c>
      <c r="D42" s="3" t="s">
        <v>81</v>
      </c>
      <c r="E42" s="16" t="s">
        <v>387</v>
      </c>
      <c r="F42" s="67" t="s">
        <v>98</v>
      </c>
      <c r="G42" s="68">
        <v>0.35</v>
      </c>
      <c r="H42" s="69">
        <v>0.57499999999999996</v>
      </c>
      <c r="I42" s="2">
        <v>88</v>
      </c>
      <c r="J42" s="2">
        <v>81.599999999999994</v>
      </c>
      <c r="K42" s="3">
        <v>72</v>
      </c>
      <c r="L42" s="58">
        <f>AVERAGE(337,339,346,325,302,272,367,384,371,335)</f>
        <v>337.8</v>
      </c>
      <c r="M42" s="16" t="s">
        <v>1072</v>
      </c>
      <c r="N42" s="58">
        <f>AVERAGE(398,375,380,410,495,450,470,459,424)</f>
        <v>429</v>
      </c>
      <c r="O42" s="16" t="s">
        <v>1072</v>
      </c>
      <c r="P42" s="58">
        <f>475*CA.US</f>
        <v>332.5</v>
      </c>
      <c r="Q42" s="16" t="s">
        <v>1072</v>
      </c>
      <c r="R42" s="41" t="s">
        <v>758</v>
      </c>
      <c r="S42" s="58">
        <v>545</v>
      </c>
      <c r="T42" s="16" t="s">
        <v>1072</v>
      </c>
      <c r="U42" s="41" t="s">
        <v>583</v>
      </c>
      <c r="W42" s="12"/>
    </row>
    <row r="43" spans="1:23" s="5" customFormat="1" ht="12.6" customHeight="1">
      <c r="A43" s="66" t="s">
        <v>38</v>
      </c>
      <c r="B43" s="158" t="s">
        <v>311</v>
      </c>
      <c r="C43" s="16" t="s">
        <v>204</v>
      </c>
      <c r="D43" s="3">
        <v>2.8</v>
      </c>
      <c r="E43" s="16" t="s">
        <v>205</v>
      </c>
      <c r="F43" s="67" t="s">
        <v>98</v>
      </c>
      <c r="G43" s="68">
        <v>0.35</v>
      </c>
      <c r="H43" s="69">
        <v>0.64500000000000002</v>
      </c>
      <c r="I43" s="2">
        <v>110</v>
      </c>
      <c r="J43" s="2">
        <v>84</v>
      </c>
      <c r="K43" s="3">
        <v>77</v>
      </c>
      <c r="L43" s="58">
        <f>AVERAGE(455,430,425,431,499,430,540,420)</f>
        <v>453.75</v>
      </c>
      <c r="M43" s="16" t="s">
        <v>1072</v>
      </c>
      <c r="N43" s="58">
        <f>AVERAGE(530,551,590,600,550,640,560,599,540)</f>
        <v>573.33333333333337</v>
      </c>
      <c r="O43" s="16" t="s">
        <v>1072</v>
      </c>
      <c r="P43" s="58">
        <v>572</v>
      </c>
      <c r="Q43" s="16" t="s">
        <v>1072</v>
      </c>
      <c r="R43" s="41" t="s">
        <v>30</v>
      </c>
      <c r="S43" s="58">
        <v>695</v>
      </c>
      <c r="T43" s="16" t="s">
        <v>1072</v>
      </c>
      <c r="U43" s="41" t="s">
        <v>29</v>
      </c>
      <c r="W43" s="12"/>
    </row>
    <row r="44" spans="1:23" s="5" customFormat="1" ht="12.6" customHeight="1">
      <c r="A44" s="66" t="s">
        <v>38</v>
      </c>
      <c r="B44" s="158" t="s">
        <v>918</v>
      </c>
      <c r="C44" s="16" t="s">
        <v>695</v>
      </c>
      <c r="D44" s="3" t="s">
        <v>81</v>
      </c>
      <c r="E44" s="16" t="s">
        <v>919</v>
      </c>
      <c r="F44" s="67" t="s">
        <v>98</v>
      </c>
      <c r="G44" s="68">
        <v>0.25</v>
      </c>
      <c r="H44" s="69">
        <v>0.20499999999999999</v>
      </c>
      <c r="I44" s="2">
        <v>75.2</v>
      </c>
      <c r="J44" s="2">
        <v>69</v>
      </c>
      <c r="K44" s="3">
        <v>52</v>
      </c>
      <c r="L44" s="58">
        <f>AVERAGE(78,78,85,79,75,85)</f>
        <v>80</v>
      </c>
      <c r="M44" s="16" t="s">
        <v>1072</v>
      </c>
      <c r="N44" s="58">
        <f>AVERAGE(100,90,110,114,114)</f>
        <v>105.6</v>
      </c>
      <c r="O44" s="16" t="s">
        <v>1072</v>
      </c>
      <c r="P44" s="58">
        <v>76</v>
      </c>
      <c r="Q44" s="16" t="s">
        <v>1072</v>
      </c>
      <c r="R44" s="41" t="s">
        <v>30</v>
      </c>
      <c r="S44" s="58">
        <v>105</v>
      </c>
      <c r="T44" s="16" t="s">
        <v>1072</v>
      </c>
      <c r="U44" s="41" t="s">
        <v>30</v>
      </c>
      <c r="W44" s="12"/>
    </row>
    <row r="45" spans="1:23" s="5" customFormat="1" ht="12.6" customHeight="1">
      <c r="A45" s="66" t="s">
        <v>38</v>
      </c>
      <c r="B45" s="158" t="s">
        <v>947</v>
      </c>
      <c r="C45" s="16" t="s">
        <v>864</v>
      </c>
      <c r="D45" s="3" t="s">
        <v>81</v>
      </c>
      <c r="E45" s="16" t="s">
        <v>948</v>
      </c>
      <c r="F45" s="67" t="s">
        <v>98</v>
      </c>
      <c r="G45" s="68">
        <v>0.39</v>
      </c>
      <c r="H45" s="69">
        <v>0.48</v>
      </c>
      <c r="I45" s="2">
        <v>96</v>
      </c>
      <c r="J45" s="2">
        <v>76.599999999999994</v>
      </c>
      <c r="K45" s="3">
        <v>67</v>
      </c>
      <c r="L45" s="58">
        <f>AVERAGE(153,162,209,181,216,168,175,180,163)</f>
        <v>178.55555555555554</v>
      </c>
      <c r="M45" s="16" t="s">
        <v>1072</v>
      </c>
      <c r="N45" s="58">
        <f>AVERAGE(223,250,249,203,290,200,274)</f>
        <v>241.28571428571428</v>
      </c>
      <c r="O45" s="16" t="s">
        <v>1072</v>
      </c>
      <c r="P45" s="58">
        <v>300</v>
      </c>
      <c r="Q45" s="16" t="s">
        <v>1072</v>
      </c>
      <c r="R45" s="41" t="s">
        <v>30</v>
      </c>
      <c r="S45" s="58">
        <v>265</v>
      </c>
      <c r="T45" s="16" t="s">
        <v>1072</v>
      </c>
      <c r="U45" s="41" t="s">
        <v>583</v>
      </c>
      <c r="W45" s="12"/>
    </row>
    <row r="46" spans="1:23" s="5" customFormat="1" ht="12.6" customHeight="1">
      <c r="A46" s="66" t="s">
        <v>38</v>
      </c>
      <c r="B46" s="158" t="s">
        <v>1043</v>
      </c>
      <c r="C46" s="16" t="s">
        <v>62</v>
      </c>
      <c r="D46" s="3" t="s">
        <v>81</v>
      </c>
      <c r="E46" s="16" t="s">
        <v>63</v>
      </c>
      <c r="F46" s="67" t="s">
        <v>98</v>
      </c>
      <c r="G46" s="68">
        <v>0.4</v>
      </c>
      <c r="H46" s="69">
        <v>0.52500000000000002</v>
      </c>
      <c r="I46" s="2">
        <v>104</v>
      </c>
      <c r="J46" s="2">
        <v>83.4</v>
      </c>
      <c r="K46" s="3">
        <v>77</v>
      </c>
      <c r="L46" s="58">
        <f>AVERAGE(289,299)</f>
        <v>294</v>
      </c>
      <c r="M46" s="16" t="s">
        <v>1072</v>
      </c>
      <c r="N46" s="58">
        <f>AVERAGE(355,338.345,400,385)</f>
        <v>369.58625000000001</v>
      </c>
      <c r="O46" s="16" t="s">
        <v>1072</v>
      </c>
      <c r="P46" s="58">
        <v>500</v>
      </c>
      <c r="Q46" s="16" t="s">
        <v>1072</v>
      </c>
      <c r="R46" s="41" t="s">
        <v>30</v>
      </c>
      <c r="S46" s="58">
        <v>500</v>
      </c>
      <c r="T46" s="16" t="s">
        <v>1072</v>
      </c>
      <c r="U46" s="41" t="s">
        <v>33</v>
      </c>
      <c r="W46" s="12"/>
    </row>
    <row r="47" spans="1:23" s="5" customFormat="1" ht="12.6" customHeight="1">
      <c r="A47" s="60" t="s">
        <v>38</v>
      </c>
      <c r="B47" s="48" t="s">
        <v>944</v>
      </c>
      <c r="C47" s="64" t="s">
        <v>945</v>
      </c>
      <c r="D47" s="64" t="s">
        <v>101</v>
      </c>
      <c r="E47" s="64" t="s">
        <v>946</v>
      </c>
      <c r="F47" s="65" t="s">
        <v>98</v>
      </c>
      <c r="G47" s="50">
        <v>0.85</v>
      </c>
      <c r="H47" s="31">
        <v>0.375</v>
      </c>
      <c r="I47" s="27">
        <v>111.2</v>
      </c>
      <c r="J47" s="27">
        <v>70</v>
      </c>
      <c r="K47" s="64">
        <v>58</v>
      </c>
      <c r="L47" s="52">
        <f>AVERAGE(128,131,140,130,115,156,120,130,138,120,120)</f>
        <v>129.81818181818181</v>
      </c>
      <c r="M47" s="27" t="s">
        <v>1072</v>
      </c>
      <c r="N47" s="52">
        <f>AVERAGE(150,150,153,178,175,152,173,188)</f>
        <v>164.875</v>
      </c>
      <c r="O47" s="61" t="s">
        <v>1072</v>
      </c>
      <c r="P47" s="52">
        <f>129*CA.US</f>
        <v>90.3</v>
      </c>
      <c r="Q47" s="61" t="s">
        <v>1033</v>
      </c>
      <c r="R47" s="43" t="s">
        <v>758</v>
      </c>
      <c r="S47" s="52">
        <v>170</v>
      </c>
      <c r="T47" s="61" t="s">
        <v>1072</v>
      </c>
      <c r="U47" s="43" t="s">
        <v>32</v>
      </c>
      <c r="W47" s="12"/>
    </row>
  </sheetData>
  <sheetProtection password="990B" sheet="1" objects="1" scenarios="1"/>
  <phoneticPr fontId="0" type="noConversion"/>
  <conditionalFormatting sqref="M1:M12 O1:O12 M16:M32 O16:O32 M41 O41 O34:O38 M35:M38 M48:M1048576 O48:O1048576 O43:O44 M43 O46">
    <cfRule type="cellIs" dxfId="329" priority="16" stopIfTrue="1" operator="lessThan">
      <formula>".08-09"</formula>
    </cfRule>
  </conditionalFormatting>
  <conditionalFormatting sqref="M13:M14 O13:O14">
    <cfRule type="cellIs" dxfId="328" priority="13" stopIfTrue="1" operator="lessThan">
      <formula>".08-09"</formula>
    </cfRule>
  </conditionalFormatting>
  <conditionalFormatting sqref="O40 M40">
    <cfRule type="cellIs" dxfId="327" priority="12" stopIfTrue="1" operator="lessThan">
      <formula>".08-09"</formula>
    </cfRule>
  </conditionalFormatting>
  <conditionalFormatting sqref="M33 O33">
    <cfRule type="cellIs" dxfId="326" priority="10" stopIfTrue="1" operator="lessThan">
      <formula>".08-09"</formula>
    </cfRule>
  </conditionalFormatting>
  <conditionalFormatting sqref="M44">
    <cfRule type="cellIs" dxfId="325" priority="9" stopIfTrue="1" operator="lessThan">
      <formula>".08-09"</formula>
    </cfRule>
  </conditionalFormatting>
  <conditionalFormatting sqref="O47">
    <cfRule type="cellIs" dxfId="324" priority="8" stopIfTrue="1" operator="lessThan">
      <formula>".08-09"</formula>
    </cfRule>
  </conditionalFormatting>
  <conditionalFormatting sqref="O39 M39">
    <cfRule type="cellIs" dxfId="323" priority="7" stopIfTrue="1" operator="lessThan">
      <formula>".08-09"</formula>
    </cfRule>
  </conditionalFormatting>
  <conditionalFormatting sqref="M46">
    <cfRule type="cellIs" dxfId="322" priority="6" stopIfTrue="1" operator="lessThan">
      <formula>".08-09"</formula>
    </cfRule>
  </conditionalFormatting>
  <conditionalFormatting sqref="M42 O42">
    <cfRule type="cellIs" dxfId="321" priority="5" stopIfTrue="1" operator="lessThan">
      <formula>".08-09"</formula>
    </cfRule>
  </conditionalFormatting>
  <conditionalFormatting sqref="O45">
    <cfRule type="cellIs" dxfId="320" priority="4" stopIfTrue="1" operator="lessThan">
      <formula>".08-09"</formula>
    </cfRule>
  </conditionalFormatting>
  <conditionalFormatting sqref="M45">
    <cfRule type="cellIs" dxfId="319" priority="3" stopIfTrue="1" operator="lessThan">
      <formula>".08-09"</formula>
    </cfRule>
  </conditionalFormatting>
  <conditionalFormatting sqref="M15 O15">
    <cfRule type="cellIs" dxfId="318"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C6 C27:C31 C33:C4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04"/>
  <sheetViews>
    <sheetView view="pageLayout" zoomScaleNormal="100" workbookViewId="0"/>
  </sheetViews>
  <sheetFormatPr defaultRowHeight="12.6" customHeight="1"/>
  <cols>
    <col min="1" max="1" width="6.28515625" style="55" customWidth="1"/>
    <col min="2" max="2" width="21.5703125" style="55" customWidth="1"/>
    <col min="3" max="3" width="7.140625" style="12" customWidth="1"/>
    <col min="4" max="4" width="7.140625" style="25" customWidth="1"/>
    <col min="5" max="5" width="7.140625" style="12" customWidth="1"/>
    <col min="6" max="6" width="4.7109375" style="12" customWidth="1"/>
    <col min="7" max="7" width="4.7109375" style="25" customWidth="1"/>
    <col min="8" max="8" width="4.7109375" style="26" customWidth="1"/>
    <col min="9" max="11" width="4.7109375" style="11" customWidth="1"/>
    <col min="12" max="17" width="5.28515625" style="11" customWidth="1"/>
    <col min="18" max="18" width="6.7109375" style="11" customWidth="1"/>
    <col min="19" max="20" width="5.28515625" style="11" customWidth="1"/>
    <col min="21" max="21" width="6.7109375" style="11" customWidth="1"/>
    <col min="22" max="22" width="2.7109375" style="11" customWidth="1"/>
    <col min="23" max="23" width="2.85546875" style="11" customWidth="1"/>
    <col min="24" max="16384" width="9.140625" style="5"/>
  </cols>
  <sheetData>
    <row r="1" spans="1:23" ht="12.6" customHeight="1">
      <c r="A1" s="14" t="str">
        <f>i!A1</f>
        <v>Lens$db: Lens Price database</v>
      </c>
      <c r="B1" s="15"/>
      <c r="C1" s="15"/>
      <c r="D1" s="10"/>
      <c r="E1" s="15"/>
      <c r="F1" s="15"/>
      <c r="H1" s="26" t="s">
        <v>16</v>
      </c>
      <c r="I1" s="11" t="s">
        <v>16</v>
      </c>
      <c r="J1" s="54" t="s">
        <v>16</v>
      </c>
      <c r="K1" s="11" t="s">
        <v>16</v>
      </c>
      <c r="L1" s="2" t="s">
        <v>16</v>
      </c>
      <c r="M1" s="2" t="s">
        <v>16</v>
      </c>
      <c r="N1" s="2" t="s">
        <v>16</v>
      </c>
      <c r="O1" s="2" t="s">
        <v>16</v>
      </c>
      <c r="P1" s="2" t="s">
        <v>16</v>
      </c>
      <c r="Q1" s="2" t="s">
        <v>16</v>
      </c>
      <c r="R1" s="13" t="str">
        <f>i!B3</f>
        <v>.2016-02-01</v>
      </c>
      <c r="S1" s="13"/>
      <c r="T1" s="2" t="s">
        <v>16</v>
      </c>
      <c r="U1" s="2" t="s">
        <v>16</v>
      </c>
      <c r="V1" s="2"/>
      <c r="W1" s="2"/>
    </row>
    <row r="2" spans="1:23" ht="12.6" customHeight="1">
      <c r="A2" s="17" t="str">
        <f>i!A3</f>
        <v>v.30</v>
      </c>
      <c r="B2" s="55" t="s">
        <v>1074</v>
      </c>
      <c r="F2" s="16"/>
      <c r="G2" s="38"/>
      <c r="H2" s="69"/>
      <c r="I2" s="2"/>
      <c r="J2" s="37"/>
      <c r="K2" s="2"/>
      <c r="L2" s="2"/>
      <c r="M2" s="3"/>
      <c r="N2" s="27"/>
      <c r="O2" s="3"/>
      <c r="P2" s="27"/>
      <c r="Q2" s="3"/>
      <c r="R2" s="27"/>
      <c r="S2" s="27"/>
      <c r="T2" s="3"/>
      <c r="U2" s="27"/>
      <c r="V2" s="2"/>
      <c r="W2" s="2"/>
    </row>
    <row r="3" spans="1:23" s="15" customFormat="1" ht="12.6" customHeight="1">
      <c r="C3" s="136"/>
      <c r="D3" s="29"/>
      <c r="E3" s="136"/>
      <c r="F3" s="137"/>
      <c r="G3" s="30"/>
      <c r="H3" s="30"/>
      <c r="I3" s="27"/>
      <c r="J3" s="27"/>
      <c r="K3" s="30"/>
      <c r="L3" s="33"/>
      <c r="M3" s="34" t="s">
        <v>16</v>
      </c>
      <c r="N3" s="34" t="s">
        <v>17</v>
      </c>
      <c r="O3" s="34" t="s">
        <v>16</v>
      </c>
      <c r="P3" s="139"/>
      <c r="Q3" s="140"/>
      <c r="R3" s="41" t="s">
        <v>18</v>
      </c>
      <c r="S3" s="27"/>
      <c r="T3" s="34" t="s">
        <v>16</v>
      </c>
      <c r="U3" s="43"/>
      <c r="V3" s="4"/>
      <c r="W3" s="4"/>
    </row>
    <row r="4" spans="1:23" s="17" customFormat="1" ht="12.6" customHeight="1">
      <c r="A4" s="15" t="s">
        <v>16</v>
      </c>
      <c r="B4" s="15" t="s">
        <v>16</v>
      </c>
      <c r="C4" s="16" t="s">
        <v>6</v>
      </c>
      <c r="D4" s="38" t="s">
        <v>11</v>
      </c>
      <c r="E4" s="16" t="s">
        <v>909</v>
      </c>
      <c r="F4" s="154" t="s">
        <v>13</v>
      </c>
      <c r="G4" s="39" t="s">
        <v>329</v>
      </c>
      <c r="H4" s="69" t="s">
        <v>7</v>
      </c>
      <c r="I4" s="2" t="s">
        <v>380</v>
      </c>
      <c r="J4" s="2" t="s">
        <v>381</v>
      </c>
      <c r="K4" s="41" t="s">
        <v>382</v>
      </c>
      <c r="L4" s="42" t="s">
        <v>576</v>
      </c>
      <c r="M4" s="43"/>
      <c r="N4" s="44" t="s">
        <v>19</v>
      </c>
      <c r="O4" s="27"/>
      <c r="P4" s="143"/>
      <c r="Q4" s="34" t="s">
        <v>577</v>
      </c>
      <c r="R4" s="53"/>
      <c r="S4" s="144"/>
      <c r="T4" s="41" t="s">
        <v>9</v>
      </c>
      <c r="U4" s="41"/>
      <c r="V4" s="3"/>
      <c r="W4" s="16"/>
    </row>
    <row r="5" spans="1:23" s="17" customFormat="1" ht="12.6" customHeight="1">
      <c r="A5" s="48" t="s">
        <v>16</v>
      </c>
      <c r="B5" s="48" t="s">
        <v>16</v>
      </c>
      <c r="C5" s="61" t="s">
        <v>20</v>
      </c>
      <c r="D5" s="32" t="s">
        <v>16</v>
      </c>
      <c r="E5" s="61" t="s">
        <v>16</v>
      </c>
      <c r="F5" s="145" t="s">
        <v>16</v>
      </c>
      <c r="G5" s="50" t="s">
        <v>37</v>
      </c>
      <c r="H5" s="31" t="s">
        <v>21</v>
      </c>
      <c r="I5" s="27" t="s">
        <v>20</v>
      </c>
      <c r="J5" s="27" t="s">
        <v>20</v>
      </c>
      <c r="K5" s="43" t="s">
        <v>20</v>
      </c>
      <c r="L5" s="52" t="s">
        <v>22</v>
      </c>
      <c r="M5" s="43" t="s">
        <v>23</v>
      </c>
      <c r="N5" s="27" t="s">
        <v>22</v>
      </c>
      <c r="O5" s="27" t="s">
        <v>23</v>
      </c>
      <c r="P5" s="52" t="s">
        <v>22</v>
      </c>
      <c r="Q5" s="27" t="s">
        <v>23</v>
      </c>
      <c r="R5" s="43" t="s">
        <v>24</v>
      </c>
      <c r="S5" s="46" t="s">
        <v>22</v>
      </c>
      <c r="T5" s="34" t="s">
        <v>23</v>
      </c>
      <c r="U5" s="53" t="s">
        <v>24</v>
      </c>
      <c r="V5" s="3"/>
      <c r="W5" s="16"/>
    </row>
    <row r="6" spans="1:23" s="17" customFormat="1" ht="12.6" customHeight="1">
      <c r="A6" s="97" t="s">
        <v>404</v>
      </c>
      <c r="B6" s="98"/>
      <c r="C6" s="34" t="s">
        <v>16</v>
      </c>
      <c r="D6" s="99" t="s">
        <v>16</v>
      </c>
      <c r="E6" s="34" t="s">
        <v>16</v>
      </c>
      <c r="F6" s="100" t="s">
        <v>16</v>
      </c>
      <c r="G6" s="101" t="s">
        <v>16</v>
      </c>
      <c r="H6" s="102" t="s">
        <v>16</v>
      </c>
      <c r="I6" s="34" t="s">
        <v>16</v>
      </c>
      <c r="J6" s="34" t="s">
        <v>16</v>
      </c>
      <c r="K6" s="34" t="s">
        <v>16</v>
      </c>
      <c r="L6" s="34" t="s">
        <v>16</v>
      </c>
      <c r="M6" s="34" t="s">
        <v>16</v>
      </c>
      <c r="N6" s="34" t="s">
        <v>16</v>
      </c>
      <c r="O6" s="34" t="s">
        <v>16</v>
      </c>
      <c r="P6" s="34" t="s">
        <v>16</v>
      </c>
      <c r="Q6" s="34" t="s">
        <v>16</v>
      </c>
      <c r="R6" s="34" t="s">
        <v>16</v>
      </c>
      <c r="S6" s="34" t="s">
        <v>16</v>
      </c>
      <c r="T6" s="34" t="s">
        <v>16</v>
      </c>
      <c r="U6" s="34" t="s">
        <v>16</v>
      </c>
    </row>
    <row r="7" spans="1:23" ht="12.6" customHeight="1">
      <c r="A7" s="75" t="s">
        <v>104</v>
      </c>
      <c r="B7" s="66" t="s">
        <v>787</v>
      </c>
      <c r="C7" s="76">
        <v>14</v>
      </c>
      <c r="D7" s="77">
        <v>2.8</v>
      </c>
      <c r="E7" s="76">
        <f t="shared" ref="E7:E27" si="0">1.6*C7</f>
        <v>22.400000000000002</v>
      </c>
      <c r="F7" s="78" t="s">
        <v>39</v>
      </c>
      <c r="G7" s="79">
        <v>0.18</v>
      </c>
      <c r="H7" s="80">
        <v>0.63</v>
      </c>
      <c r="I7" s="76">
        <v>91</v>
      </c>
      <c r="J7" s="76">
        <v>82</v>
      </c>
      <c r="K7" s="81" t="s">
        <v>40</v>
      </c>
      <c r="L7" s="76">
        <f>AVERAGE(358,315,350,461,454,400)</f>
        <v>389.66666666666669</v>
      </c>
      <c r="M7" s="81" t="s">
        <v>1072</v>
      </c>
      <c r="N7" s="76">
        <f>AVERAGE(500,520,500,515,575,590,488,500,549,550)</f>
        <v>528.70000000000005</v>
      </c>
      <c r="O7" s="76" t="s">
        <v>952</v>
      </c>
      <c r="P7" s="82">
        <v>487</v>
      </c>
      <c r="Q7" s="76" t="s">
        <v>981</v>
      </c>
      <c r="R7" s="81" t="s">
        <v>30</v>
      </c>
      <c r="S7" s="82" t="s">
        <v>16</v>
      </c>
      <c r="T7" s="76" t="s">
        <v>16</v>
      </c>
      <c r="U7" s="81" t="s">
        <v>16</v>
      </c>
      <c r="V7" s="2"/>
      <c r="W7" s="2"/>
    </row>
    <row r="8" spans="1:23" ht="12.6" customHeight="1">
      <c r="A8" s="75" t="s">
        <v>104</v>
      </c>
      <c r="B8" s="66" t="s">
        <v>512</v>
      </c>
      <c r="C8" s="76">
        <v>20</v>
      </c>
      <c r="D8" s="77">
        <v>1.4</v>
      </c>
      <c r="E8" s="76">
        <f t="shared" ref="E8" si="1">1.6*C8</f>
        <v>32</v>
      </c>
      <c r="F8" s="78" t="s">
        <v>39</v>
      </c>
      <c r="G8" s="79">
        <v>0.27600000000000002</v>
      </c>
      <c r="H8" s="80">
        <v>0.95</v>
      </c>
      <c r="I8" s="76">
        <v>129.80000000000001</v>
      </c>
      <c r="J8" s="76">
        <v>90.7</v>
      </c>
      <c r="K8" s="81" t="s">
        <v>16</v>
      </c>
      <c r="L8" s="76">
        <f>AVERAGE(0)</f>
        <v>0</v>
      </c>
      <c r="M8" s="81" t="s">
        <v>16</v>
      </c>
      <c r="N8" s="76">
        <f>AVERAGE(0)</f>
        <v>0</v>
      </c>
      <c r="O8" s="81" t="s">
        <v>16</v>
      </c>
      <c r="P8" s="82" t="s">
        <v>16</v>
      </c>
      <c r="Q8" s="76" t="s">
        <v>16</v>
      </c>
      <c r="R8" s="81" t="s">
        <v>16</v>
      </c>
      <c r="S8" s="82" t="s">
        <v>16</v>
      </c>
      <c r="T8" s="76" t="s">
        <v>16</v>
      </c>
      <c r="U8" s="81" t="s">
        <v>16</v>
      </c>
      <c r="V8" s="2"/>
      <c r="W8" s="2"/>
    </row>
    <row r="9" spans="1:23" ht="12.6" customHeight="1">
      <c r="A9" s="75" t="s">
        <v>104</v>
      </c>
      <c r="B9" s="66" t="s">
        <v>512</v>
      </c>
      <c r="C9" s="76">
        <v>20</v>
      </c>
      <c r="D9" s="77">
        <v>1.8</v>
      </c>
      <c r="E9" s="76">
        <f t="shared" si="0"/>
        <v>32</v>
      </c>
      <c r="F9" s="78" t="s">
        <v>39</v>
      </c>
      <c r="G9" s="79">
        <v>0.2</v>
      </c>
      <c r="H9" s="80">
        <v>0.52</v>
      </c>
      <c r="I9" s="76">
        <v>87</v>
      </c>
      <c r="J9" s="76">
        <v>89</v>
      </c>
      <c r="K9" s="81">
        <v>82</v>
      </c>
      <c r="L9" s="76">
        <f>AVERAGE(223,297,259,245,250,299,270,300,325)</f>
        <v>274.22222222222223</v>
      </c>
      <c r="M9" s="81" t="s">
        <v>1072</v>
      </c>
      <c r="N9" s="76">
        <f>AVERAGE(330,371,419,425,410,475,460,435,445,400,395,390)</f>
        <v>412.91666666666669</v>
      </c>
      <c r="O9" s="76" t="s">
        <v>1033</v>
      </c>
      <c r="P9" s="82">
        <v>310</v>
      </c>
      <c r="Q9" s="76" t="s">
        <v>1072</v>
      </c>
      <c r="R9" s="81" t="s">
        <v>33</v>
      </c>
      <c r="S9" s="82">
        <v>450</v>
      </c>
      <c r="T9" s="76" t="s">
        <v>917</v>
      </c>
      <c r="U9" s="81" t="s">
        <v>906</v>
      </c>
      <c r="V9" s="2"/>
      <c r="W9" s="2"/>
    </row>
    <row r="10" spans="1:23" ht="12.6" customHeight="1">
      <c r="A10" s="75" t="s">
        <v>104</v>
      </c>
      <c r="B10" s="66" t="s">
        <v>979</v>
      </c>
      <c r="C10" s="76">
        <v>24</v>
      </c>
      <c r="D10" s="77">
        <v>1.4</v>
      </c>
      <c r="E10" s="76">
        <f t="shared" ref="E10" si="2">1.6*C10</f>
        <v>38.400000000000006</v>
      </c>
      <c r="F10" s="78" t="s">
        <v>39</v>
      </c>
      <c r="G10" s="79">
        <v>0.25</v>
      </c>
      <c r="H10" s="80">
        <v>0.66500000000000004</v>
      </c>
      <c r="I10" s="76">
        <v>90.2</v>
      </c>
      <c r="J10" s="76">
        <v>85</v>
      </c>
      <c r="K10" s="81">
        <v>77</v>
      </c>
      <c r="L10" s="76">
        <f>AVERAGE(650,655)</f>
        <v>652.5</v>
      </c>
      <c r="M10" s="81" t="s">
        <v>1072</v>
      </c>
      <c r="N10" s="111">
        <f>AVERAGE(850)</f>
        <v>850</v>
      </c>
      <c r="O10" s="76" t="s">
        <v>981</v>
      </c>
      <c r="P10" s="82">
        <f>AVERAGE(0)</f>
        <v>0</v>
      </c>
      <c r="Q10" s="76" t="s">
        <v>16</v>
      </c>
      <c r="R10" s="81" t="s">
        <v>16</v>
      </c>
      <c r="S10" s="82">
        <f>AVERAGE(0)</f>
        <v>0</v>
      </c>
      <c r="T10" s="76" t="s">
        <v>16</v>
      </c>
      <c r="U10" s="81" t="s">
        <v>16</v>
      </c>
      <c r="V10" s="2"/>
      <c r="W10" s="2"/>
    </row>
    <row r="11" spans="1:23" ht="12.6" customHeight="1">
      <c r="A11" s="75" t="s">
        <v>104</v>
      </c>
      <c r="B11" s="66" t="s">
        <v>788</v>
      </c>
      <c r="C11" s="76">
        <v>24</v>
      </c>
      <c r="D11" s="77">
        <v>1.8</v>
      </c>
      <c r="E11" s="76">
        <f t="shared" si="0"/>
        <v>38.400000000000006</v>
      </c>
      <c r="F11" s="78" t="s">
        <v>39</v>
      </c>
      <c r="G11" s="79">
        <v>0.18</v>
      </c>
      <c r="H11" s="80">
        <v>0.48499999999999999</v>
      </c>
      <c r="I11" s="76">
        <v>80</v>
      </c>
      <c r="J11" s="76">
        <v>83</v>
      </c>
      <c r="K11" s="81">
        <v>77</v>
      </c>
      <c r="L11" s="76">
        <f>AVERAGE(288,297,299,290,260,280,302,330,307,281,298)</f>
        <v>293.81818181818181</v>
      </c>
      <c r="M11" s="81" t="s">
        <v>1045</v>
      </c>
      <c r="N11" s="95">
        <f>AVERAGE(345,320,400,400,330,400,360,375)</f>
        <v>366.25</v>
      </c>
      <c r="O11" s="76" t="s">
        <v>967</v>
      </c>
      <c r="P11" s="82">
        <v>360</v>
      </c>
      <c r="Q11" s="76" t="s">
        <v>981</v>
      </c>
      <c r="R11" s="81" t="s">
        <v>33</v>
      </c>
      <c r="S11" s="82">
        <v>275</v>
      </c>
      <c r="T11" s="76" t="s">
        <v>816</v>
      </c>
      <c r="U11" s="81" t="s">
        <v>30</v>
      </c>
      <c r="V11" s="2"/>
      <c r="W11" s="2"/>
    </row>
    <row r="12" spans="1:23" ht="12.6" customHeight="1">
      <c r="A12" s="75" t="s">
        <v>104</v>
      </c>
      <c r="B12" s="66" t="s">
        <v>756</v>
      </c>
      <c r="C12" s="76">
        <v>28</v>
      </c>
      <c r="D12" s="77">
        <v>1.8</v>
      </c>
      <c r="E12" s="76">
        <f t="shared" si="0"/>
        <v>44.800000000000004</v>
      </c>
      <c r="F12" s="78" t="s">
        <v>39</v>
      </c>
      <c r="G12" s="79">
        <v>0.3</v>
      </c>
      <c r="H12" s="80">
        <v>0.28999999999999998</v>
      </c>
      <c r="I12" s="76">
        <v>62</v>
      </c>
      <c r="J12" s="76">
        <v>69</v>
      </c>
      <c r="K12" s="81">
        <v>58</v>
      </c>
      <c r="L12" s="76">
        <f>AVERAGE(200,147,200,190,225,103,180,191,165)</f>
        <v>177.88888888888889</v>
      </c>
      <c r="M12" s="81" t="s">
        <v>1010</v>
      </c>
      <c r="N12" s="76">
        <f>AVERAGE(299,349,388,328,295,286,328,229,275,353)</f>
        <v>313</v>
      </c>
      <c r="O12" s="76" t="s">
        <v>973</v>
      </c>
      <c r="P12" s="82">
        <v>275</v>
      </c>
      <c r="Q12" s="76" t="s">
        <v>863</v>
      </c>
      <c r="R12" s="81" t="s">
        <v>30</v>
      </c>
      <c r="S12" s="82">
        <v>450</v>
      </c>
      <c r="T12" s="76" t="s">
        <v>878</v>
      </c>
      <c r="U12" s="81" t="s">
        <v>33</v>
      </c>
      <c r="V12" s="2"/>
      <c r="W12" s="2"/>
    </row>
    <row r="13" spans="1:23" ht="12.6" customHeight="1">
      <c r="A13" s="75" t="s">
        <v>723</v>
      </c>
      <c r="B13" s="66" t="s">
        <v>858</v>
      </c>
      <c r="C13" s="76">
        <v>35</v>
      </c>
      <c r="D13" s="77">
        <v>1.4</v>
      </c>
      <c r="E13" s="76">
        <f t="shared" si="0"/>
        <v>56</v>
      </c>
      <c r="F13" s="78" t="s">
        <v>39</v>
      </c>
      <c r="G13" s="79">
        <v>0.3</v>
      </c>
      <c r="H13" s="80">
        <v>0.66500000000000004</v>
      </c>
      <c r="I13" s="76">
        <v>94</v>
      </c>
      <c r="J13" s="76">
        <v>77</v>
      </c>
      <c r="K13" s="81">
        <v>67</v>
      </c>
      <c r="L13" s="76">
        <f>AVERAGE(660,650,675,635,690,688,700,688,621,662)</f>
        <v>666.9</v>
      </c>
      <c r="M13" s="81" t="s">
        <v>1072</v>
      </c>
      <c r="N13" s="76">
        <f>AVERAGE(730,698,701,740,770,780,760,839,774)</f>
        <v>754.66666666666663</v>
      </c>
      <c r="O13" s="76" t="s">
        <v>1045</v>
      </c>
      <c r="P13" s="82">
        <f>750*CA.US</f>
        <v>525</v>
      </c>
      <c r="Q13" s="76" t="s">
        <v>1045</v>
      </c>
      <c r="R13" s="81" t="s">
        <v>418</v>
      </c>
      <c r="S13" s="82">
        <v>750</v>
      </c>
      <c r="T13" s="76" t="s">
        <v>1045</v>
      </c>
      <c r="U13" s="81" t="s">
        <v>29</v>
      </c>
      <c r="V13" s="2"/>
      <c r="W13" s="2"/>
    </row>
    <row r="14" spans="1:23" ht="12.6" customHeight="1">
      <c r="A14" s="75" t="s">
        <v>104</v>
      </c>
      <c r="B14" s="66" t="s">
        <v>312</v>
      </c>
      <c r="C14" s="76">
        <v>50</v>
      </c>
      <c r="D14" s="77">
        <v>1.4</v>
      </c>
      <c r="E14" s="76">
        <f t="shared" ref="E14" si="3">1.6*C14</f>
        <v>80</v>
      </c>
      <c r="F14" s="78" t="s">
        <v>39</v>
      </c>
      <c r="G14" s="79">
        <v>0.45</v>
      </c>
      <c r="H14" s="80">
        <v>0.505</v>
      </c>
      <c r="I14" s="76">
        <v>68</v>
      </c>
      <c r="J14" s="76">
        <v>85</v>
      </c>
      <c r="K14" s="81">
        <v>77</v>
      </c>
      <c r="L14" s="76">
        <f>AVERAGE(227,276,252,261,275,280,260,305,331,265,308)</f>
        <v>276.36363636363637</v>
      </c>
      <c r="M14" s="81" t="s">
        <v>1072</v>
      </c>
      <c r="N14" s="76">
        <f>AVERAGE(425,338,330,350,381,366,350,374)</f>
        <v>364.25</v>
      </c>
      <c r="O14" s="81" t="s">
        <v>1045</v>
      </c>
      <c r="P14" s="82">
        <v>350</v>
      </c>
      <c r="Q14" s="76" t="s">
        <v>1045</v>
      </c>
      <c r="R14" s="81" t="s">
        <v>33</v>
      </c>
      <c r="S14" s="82">
        <v>350</v>
      </c>
      <c r="T14" s="76" t="s">
        <v>981</v>
      </c>
      <c r="U14" s="81" t="s">
        <v>906</v>
      </c>
      <c r="V14" s="2"/>
      <c r="W14" s="2"/>
    </row>
    <row r="15" spans="1:23" ht="12.6" customHeight="1">
      <c r="A15" s="75" t="s">
        <v>104</v>
      </c>
      <c r="B15" s="66" t="s">
        <v>857</v>
      </c>
      <c r="C15" s="76">
        <v>50</v>
      </c>
      <c r="D15" s="77">
        <v>1.4</v>
      </c>
      <c r="E15" s="76">
        <f t="shared" si="0"/>
        <v>80</v>
      </c>
      <c r="F15" s="78" t="s">
        <v>39</v>
      </c>
      <c r="G15" s="79">
        <v>0.4</v>
      </c>
      <c r="H15" s="80">
        <v>0.81499999999999995</v>
      </c>
      <c r="I15" s="76">
        <v>99.9</v>
      </c>
      <c r="J15" s="76">
        <v>85.4</v>
      </c>
      <c r="K15" s="81">
        <v>77</v>
      </c>
      <c r="L15" s="76">
        <f>AVERAGE(604,649,750,715,735,775,770,750,761)</f>
        <v>723.22222222222217</v>
      </c>
      <c r="M15" s="81" t="s">
        <v>1072</v>
      </c>
      <c r="N15" s="76">
        <f>AVERAGE(679,825,850,800)</f>
        <v>788.5</v>
      </c>
      <c r="O15" s="81" t="s">
        <v>1045</v>
      </c>
      <c r="P15" s="82" t="s">
        <v>16</v>
      </c>
      <c r="Q15" s="76" t="s">
        <v>16</v>
      </c>
      <c r="R15" s="81" t="s">
        <v>16</v>
      </c>
      <c r="S15" s="96">
        <v>950</v>
      </c>
      <c r="T15" s="76" t="s">
        <v>904</v>
      </c>
      <c r="U15" s="81" t="s">
        <v>32</v>
      </c>
      <c r="V15" s="2"/>
      <c r="W15" s="2"/>
    </row>
    <row r="16" spans="1:23" ht="12.6" customHeight="1">
      <c r="A16" s="75" t="s">
        <v>104</v>
      </c>
      <c r="B16" s="66" t="s">
        <v>775</v>
      </c>
      <c r="C16" s="76">
        <v>50</v>
      </c>
      <c r="D16" s="77">
        <v>2.8</v>
      </c>
      <c r="E16" s="76">
        <f t="shared" si="0"/>
        <v>80</v>
      </c>
      <c r="F16" s="78" t="s">
        <v>39</v>
      </c>
      <c r="G16" s="79">
        <v>0.189</v>
      </c>
      <c r="H16" s="80">
        <v>0.32</v>
      </c>
      <c r="I16" s="76">
        <v>66.5</v>
      </c>
      <c r="J16" s="76">
        <v>71.400000000000006</v>
      </c>
      <c r="K16" s="81">
        <v>55</v>
      </c>
      <c r="L16" s="76">
        <f>AVERAGE(135,125,124,133,120)</f>
        <v>127.4</v>
      </c>
      <c r="M16" s="81" t="s">
        <v>1045</v>
      </c>
      <c r="N16" s="76">
        <f>AVERAGE(275,210,202,279,255,200,220,269,230)</f>
        <v>237.77777777777777</v>
      </c>
      <c r="O16" s="76" t="s">
        <v>967</v>
      </c>
      <c r="P16" s="82">
        <v>210</v>
      </c>
      <c r="Q16" s="76" t="s">
        <v>1072</v>
      </c>
      <c r="R16" s="81" t="s">
        <v>30</v>
      </c>
      <c r="S16" s="82">
        <v>170</v>
      </c>
      <c r="T16" s="76" t="s">
        <v>1072</v>
      </c>
      <c r="U16" s="81" t="s">
        <v>29</v>
      </c>
      <c r="V16" s="2"/>
      <c r="W16" s="2"/>
    </row>
    <row r="17" spans="1:23" ht="12.6" customHeight="1">
      <c r="A17" s="75" t="s">
        <v>104</v>
      </c>
      <c r="B17" s="66" t="s">
        <v>776</v>
      </c>
      <c r="C17" s="76">
        <v>70</v>
      </c>
      <c r="D17" s="77">
        <v>2.8</v>
      </c>
      <c r="E17" s="76">
        <f>1.6*C17</f>
        <v>112</v>
      </c>
      <c r="F17" s="78" t="s">
        <v>39</v>
      </c>
      <c r="G17" s="79">
        <v>0.25700000000000001</v>
      </c>
      <c r="H17" s="80">
        <v>0.52500000000000002</v>
      </c>
      <c r="I17" s="76">
        <v>95</v>
      </c>
      <c r="J17" s="76">
        <v>76</v>
      </c>
      <c r="K17" s="81">
        <v>62</v>
      </c>
      <c r="L17" s="76">
        <f>AVERAGE(119,220,188,247)</f>
        <v>193.5</v>
      </c>
      <c r="M17" s="81" t="s">
        <v>1013</v>
      </c>
      <c r="N17" s="76">
        <f>AVERAGE(321,315,325,375,350)</f>
        <v>337.2</v>
      </c>
      <c r="O17" s="76" t="s">
        <v>917</v>
      </c>
      <c r="P17" s="82">
        <v>300</v>
      </c>
      <c r="Q17" s="76" t="s">
        <v>863</v>
      </c>
      <c r="R17" s="81" t="s">
        <v>30</v>
      </c>
      <c r="S17" s="82">
        <v>370</v>
      </c>
      <c r="T17" s="76" t="s">
        <v>917</v>
      </c>
      <c r="U17" s="81" t="s">
        <v>906</v>
      </c>
      <c r="V17" s="2"/>
      <c r="W17" s="2"/>
    </row>
    <row r="18" spans="1:23" ht="12.6" customHeight="1">
      <c r="A18" s="75" t="s">
        <v>104</v>
      </c>
      <c r="B18" s="66" t="s">
        <v>777</v>
      </c>
      <c r="C18" s="76">
        <v>85</v>
      </c>
      <c r="D18" s="77">
        <v>1.4</v>
      </c>
      <c r="E18" s="76">
        <f t="shared" si="0"/>
        <v>136</v>
      </c>
      <c r="F18" s="78" t="s">
        <v>39</v>
      </c>
      <c r="G18" s="79">
        <v>0.85</v>
      </c>
      <c r="H18" s="80">
        <v>0.72499999999999998</v>
      </c>
      <c r="I18" s="76">
        <v>86.4</v>
      </c>
      <c r="J18" s="76">
        <v>86.4</v>
      </c>
      <c r="K18" s="81">
        <v>77</v>
      </c>
      <c r="L18" s="76">
        <f>AVERAGE(695,544,623,695,653,652,610,685,679,699,607,654)</f>
        <v>649.66666666666663</v>
      </c>
      <c r="M18" s="81" t="s">
        <v>1045</v>
      </c>
      <c r="N18" s="76">
        <f>AVERAGE(700,720,20,681,730,710,749,755,765,799)</f>
        <v>662.9</v>
      </c>
      <c r="O18" s="76" t="s">
        <v>1045</v>
      </c>
      <c r="P18" s="82">
        <v>720</v>
      </c>
      <c r="Q18" s="76" t="s">
        <v>1072</v>
      </c>
      <c r="R18" s="81" t="s">
        <v>906</v>
      </c>
      <c r="S18" s="82">
        <v>822</v>
      </c>
      <c r="T18" s="76" t="s">
        <v>1072</v>
      </c>
      <c r="U18" s="81" t="s">
        <v>30</v>
      </c>
      <c r="V18" s="2"/>
      <c r="W18" s="2"/>
    </row>
    <row r="19" spans="1:23" ht="12.6" customHeight="1">
      <c r="A19" s="75" t="s">
        <v>104</v>
      </c>
      <c r="B19" s="66" t="s">
        <v>778</v>
      </c>
      <c r="C19" s="76">
        <v>105</v>
      </c>
      <c r="D19" s="77">
        <v>2.8</v>
      </c>
      <c r="E19" s="76">
        <f>1.6*C19</f>
        <v>168</v>
      </c>
      <c r="F19" s="78" t="s">
        <v>39</v>
      </c>
      <c r="G19" s="79">
        <v>0.31</v>
      </c>
      <c r="H19" s="80">
        <v>0.45</v>
      </c>
      <c r="I19" s="76">
        <v>95</v>
      </c>
      <c r="J19" s="76">
        <v>74</v>
      </c>
      <c r="K19" s="81">
        <v>58</v>
      </c>
      <c r="L19" s="76">
        <f>AVERAGE(180,160,230,139,158,162,235,170,187)</f>
        <v>180.11111111111111</v>
      </c>
      <c r="M19" s="81" t="s">
        <v>1072</v>
      </c>
      <c r="N19" s="76">
        <f>AVERAGE(249,281,195,247,240,270)</f>
        <v>247</v>
      </c>
      <c r="O19" s="76" t="s">
        <v>1072</v>
      </c>
      <c r="P19" s="82">
        <v>300</v>
      </c>
      <c r="Q19" s="76" t="s">
        <v>1045</v>
      </c>
      <c r="R19" s="81" t="s">
        <v>33</v>
      </c>
      <c r="S19" s="82">
        <v>340</v>
      </c>
      <c r="T19" s="76" t="s">
        <v>631</v>
      </c>
      <c r="U19" s="81" t="s">
        <v>30</v>
      </c>
      <c r="V19" s="2"/>
      <c r="W19" s="2"/>
    </row>
    <row r="20" spans="1:23" ht="12.6" customHeight="1">
      <c r="A20" s="75" t="s">
        <v>104</v>
      </c>
      <c r="B20" s="66" t="s">
        <v>779</v>
      </c>
      <c r="C20" s="76">
        <v>105</v>
      </c>
      <c r="D20" s="77">
        <v>2.8</v>
      </c>
      <c r="E20" s="76">
        <f t="shared" ref="E20" si="4">1.6*C20</f>
        <v>168</v>
      </c>
      <c r="F20" s="78" t="s">
        <v>39</v>
      </c>
      <c r="G20" s="79">
        <v>0.31</v>
      </c>
      <c r="H20" s="80">
        <v>0.72499999999999998</v>
      </c>
      <c r="I20" s="76">
        <v>126.4</v>
      </c>
      <c r="J20" s="76">
        <v>78.7</v>
      </c>
      <c r="K20" s="81">
        <v>62</v>
      </c>
      <c r="L20" s="76">
        <f>AVERAGE(350,438,396,400,430,416)</f>
        <v>405</v>
      </c>
      <c r="M20" s="81" t="s">
        <v>1072</v>
      </c>
      <c r="N20" s="76">
        <f>AVERAGE(409,588)</f>
        <v>498.5</v>
      </c>
      <c r="O20" s="76" t="s">
        <v>1033</v>
      </c>
      <c r="P20" s="82">
        <v>550</v>
      </c>
      <c r="Q20" s="76" t="s">
        <v>917</v>
      </c>
      <c r="R20" s="81" t="s">
        <v>33</v>
      </c>
      <c r="S20" s="82" t="s">
        <v>16</v>
      </c>
      <c r="T20" s="76" t="s">
        <v>16</v>
      </c>
      <c r="U20" s="81" t="s">
        <v>16</v>
      </c>
      <c r="V20" s="2"/>
      <c r="W20" s="2"/>
    </row>
    <row r="21" spans="1:23" ht="12.6" customHeight="1">
      <c r="A21" s="75" t="s">
        <v>104</v>
      </c>
      <c r="B21" s="66" t="s">
        <v>780</v>
      </c>
      <c r="C21" s="76">
        <v>150</v>
      </c>
      <c r="D21" s="77">
        <v>2.8</v>
      </c>
      <c r="E21" s="76">
        <f>1.6*C21</f>
        <v>240</v>
      </c>
      <c r="F21" s="78" t="s">
        <v>39</v>
      </c>
      <c r="G21" s="79">
        <v>0.38</v>
      </c>
      <c r="H21" s="80">
        <v>0.89500000000000002</v>
      </c>
      <c r="I21" s="76">
        <v>137</v>
      </c>
      <c r="J21" s="76">
        <v>79.599999999999994</v>
      </c>
      <c r="K21" s="81">
        <v>72</v>
      </c>
      <c r="L21" s="76">
        <f>AVERAGE(270,399,429,425,401,308,481,344,485,441)</f>
        <v>398.3</v>
      </c>
      <c r="M21" s="81" t="s">
        <v>1013</v>
      </c>
      <c r="N21" s="76">
        <f>AVERAGE(538,500,435,590,530,515,460,455,485,561,530,547)</f>
        <v>512.16666666666663</v>
      </c>
      <c r="O21" s="76" t="s">
        <v>878</v>
      </c>
      <c r="P21" s="82">
        <v>480</v>
      </c>
      <c r="Q21" s="76" t="s">
        <v>1045</v>
      </c>
      <c r="R21" s="81" t="s">
        <v>33</v>
      </c>
      <c r="S21" s="82">
        <v>600</v>
      </c>
      <c r="T21" s="76" t="s">
        <v>917</v>
      </c>
      <c r="U21" s="81" t="s">
        <v>33</v>
      </c>
      <c r="V21" s="2"/>
      <c r="W21" s="2"/>
    </row>
    <row r="22" spans="1:23" ht="12.6" customHeight="1">
      <c r="A22" s="75" t="s">
        <v>104</v>
      </c>
      <c r="B22" s="66" t="s">
        <v>781</v>
      </c>
      <c r="C22" s="76">
        <v>150</v>
      </c>
      <c r="D22" s="77">
        <v>2.8</v>
      </c>
      <c r="E22" s="76">
        <f t="shared" ref="E22" si="5">1.6*C22</f>
        <v>240</v>
      </c>
      <c r="F22" s="78" t="s">
        <v>39</v>
      </c>
      <c r="G22" s="79">
        <v>0.38</v>
      </c>
      <c r="H22" s="80">
        <v>1.1499999999999999</v>
      </c>
      <c r="I22" s="76">
        <v>149.9</v>
      </c>
      <c r="J22" s="76">
        <v>79.599999999999994</v>
      </c>
      <c r="K22" s="81">
        <v>72</v>
      </c>
      <c r="L22" s="76">
        <f>AVERAGE(750,740,766,775)</f>
        <v>757.75</v>
      </c>
      <c r="M22" s="81" t="s">
        <v>981</v>
      </c>
      <c r="N22" s="76">
        <f>AVERAGE(875,940,949,881,939)</f>
        <v>916.8</v>
      </c>
      <c r="O22" s="76" t="s">
        <v>917</v>
      </c>
      <c r="P22" s="82">
        <v>700</v>
      </c>
      <c r="Q22" s="76" t="s">
        <v>1072</v>
      </c>
      <c r="R22" s="81" t="s">
        <v>33</v>
      </c>
      <c r="S22" s="82">
        <v>852</v>
      </c>
      <c r="T22" s="76" t="s">
        <v>981</v>
      </c>
      <c r="U22" s="81" t="s">
        <v>30</v>
      </c>
      <c r="V22" s="2"/>
      <c r="W22" s="2"/>
    </row>
    <row r="23" spans="1:23" ht="12.6" customHeight="1">
      <c r="A23" s="75" t="s">
        <v>104</v>
      </c>
      <c r="B23" s="66" t="s">
        <v>783</v>
      </c>
      <c r="C23" s="76">
        <v>180</v>
      </c>
      <c r="D23" s="77">
        <v>2.8</v>
      </c>
      <c r="E23" s="76">
        <f t="shared" ref="E23" si="6">1.6*C23</f>
        <v>288</v>
      </c>
      <c r="F23" s="78" t="s">
        <v>39</v>
      </c>
      <c r="G23" s="79">
        <v>0.47</v>
      </c>
      <c r="H23" s="80">
        <v>1.6379999999999999</v>
      </c>
      <c r="I23" s="76">
        <v>203.9</v>
      </c>
      <c r="J23" s="76">
        <v>95</v>
      </c>
      <c r="K23" s="81">
        <v>86</v>
      </c>
      <c r="L23" s="76">
        <f>AVERAGE(940)</f>
        <v>940</v>
      </c>
      <c r="M23" s="81" t="s">
        <v>1072</v>
      </c>
      <c r="N23" s="76">
        <f>AVERAGE(999,1125,1025,927)</f>
        <v>1019</v>
      </c>
      <c r="O23" s="76" t="s">
        <v>981</v>
      </c>
      <c r="P23" s="82">
        <v>1160</v>
      </c>
      <c r="Q23" s="76" t="s">
        <v>1045</v>
      </c>
      <c r="R23" s="81" t="s">
        <v>33</v>
      </c>
      <c r="S23" s="82">
        <v>1270</v>
      </c>
      <c r="T23" s="76" t="s">
        <v>1072</v>
      </c>
      <c r="U23" s="81" t="s">
        <v>906</v>
      </c>
      <c r="V23" s="2"/>
      <c r="W23" s="2"/>
    </row>
    <row r="24" spans="1:23" ht="12.6" customHeight="1">
      <c r="A24" s="75" t="s">
        <v>104</v>
      </c>
      <c r="B24" s="66" t="s">
        <v>782</v>
      </c>
      <c r="C24" s="76">
        <v>180</v>
      </c>
      <c r="D24" s="77">
        <v>3.5</v>
      </c>
      <c r="E24" s="76">
        <f>1.6*C24</f>
        <v>288</v>
      </c>
      <c r="F24" s="78" t="s">
        <v>39</v>
      </c>
      <c r="G24" s="79">
        <v>0.46</v>
      </c>
      <c r="H24" s="80">
        <v>0.95</v>
      </c>
      <c r="I24" s="76">
        <v>180</v>
      </c>
      <c r="J24" s="76">
        <v>80</v>
      </c>
      <c r="K24" s="81">
        <v>72</v>
      </c>
      <c r="L24" s="76">
        <f>AVERAGE(380,384,275,435,400,356,495,444,408)</f>
        <v>397.44444444444446</v>
      </c>
      <c r="M24" s="81" t="s">
        <v>1047</v>
      </c>
      <c r="N24" s="76">
        <f>AVERAGE(510,600,500,450,575,599,485,625,575,650)</f>
        <v>556.9</v>
      </c>
      <c r="O24" s="76" t="s">
        <v>878</v>
      </c>
      <c r="P24" s="82">
        <v>415</v>
      </c>
      <c r="Q24" s="76" t="s">
        <v>1072</v>
      </c>
      <c r="R24" s="81" t="s">
        <v>583</v>
      </c>
      <c r="S24" s="82" t="s">
        <v>16</v>
      </c>
      <c r="T24" s="76" t="s">
        <v>16</v>
      </c>
      <c r="U24" s="81" t="s">
        <v>16</v>
      </c>
      <c r="V24" s="2"/>
      <c r="W24" s="2"/>
    </row>
    <row r="25" spans="1:23" ht="12.6" customHeight="1">
      <c r="A25" s="75" t="s">
        <v>104</v>
      </c>
      <c r="B25" s="66" t="s">
        <v>784</v>
      </c>
      <c r="C25" s="76">
        <v>300</v>
      </c>
      <c r="D25" s="77">
        <v>2.8</v>
      </c>
      <c r="E25" s="76">
        <f t="shared" si="0"/>
        <v>480</v>
      </c>
      <c r="F25" s="78" t="s">
        <v>39</v>
      </c>
      <c r="G25" s="79">
        <v>2.5</v>
      </c>
      <c r="H25" s="80">
        <v>2.4</v>
      </c>
      <c r="I25" s="76">
        <v>214</v>
      </c>
      <c r="J25" s="76">
        <v>119</v>
      </c>
      <c r="K25" s="81">
        <v>46</v>
      </c>
      <c r="L25" s="76">
        <f>AVERAGE(910,1009,1499,1599,1275,1300,1161)</f>
        <v>1250.4285714285713</v>
      </c>
      <c r="M25" s="81" t="s">
        <v>1047</v>
      </c>
      <c r="N25" s="76">
        <f>AVERAGE(1598,1650,1582,1505,1700,1900,1600)</f>
        <v>1647.8571428571429</v>
      </c>
      <c r="O25" s="76" t="s">
        <v>1072</v>
      </c>
      <c r="P25" s="82">
        <v>1900</v>
      </c>
      <c r="Q25" s="76" t="s">
        <v>878</v>
      </c>
      <c r="R25" s="81" t="s">
        <v>30</v>
      </c>
      <c r="S25" s="82">
        <v>2600</v>
      </c>
      <c r="T25" s="76" t="s">
        <v>917</v>
      </c>
      <c r="U25" s="81" t="s">
        <v>33</v>
      </c>
      <c r="V25" s="2"/>
      <c r="W25" s="2"/>
    </row>
    <row r="26" spans="1:23" ht="12.6" customHeight="1">
      <c r="A26" s="75" t="s">
        <v>104</v>
      </c>
      <c r="B26" s="66" t="s">
        <v>785</v>
      </c>
      <c r="C26" s="76">
        <v>500</v>
      </c>
      <c r="D26" s="77">
        <v>4.5</v>
      </c>
      <c r="E26" s="76">
        <f t="shared" si="0"/>
        <v>800</v>
      </c>
      <c r="F26" s="78" t="s">
        <v>39</v>
      </c>
      <c r="G26" s="79">
        <v>4</v>
      </c>
      <c r="H26" s="80">
        <v>3.1</v>
      </c>
      <c r="I26" s="76">
        <v>350</v>
      </c>
      <c r="J26" s="76">
        <v>123</v>
      </c>
      <c r="K26" s="81">
        <v>46</v>
      </c>
      <c r="L26" s="76">
        <f>AVERAGE(1284,1575,2303,2125)</f>
        <v>1821.75</v>
      </c>
      <c r="M26" s="81" t="s">
        <v>1072</v>
      </c>
      <c r="N26" s="76">
        <f>AVERAGE(2466)</f>
        <v>2466</v>
      </c>
      <c r="O26" s="76" t="s">
        <v>1072</v>
      </c>
      <c r="P26" s="82">
        <f>2999*CA.US</f>
        <v>2099.2999999999997</v>
      </c>
      <c r="Q26" s="76" t="s">
        <v>981</v>
      </c>
      <c r="R26" s="81" t="s">
        <v>758</v>
      </c>
      <c r="S26" s="82">
        <v>3802</v>
      </c>
      <c r="T26" s="76" t="s">
        <v>917</v>
      </c>
      <c r="U26" s="81" t="s">
        <v>30</v>
      </c>
      <c r="V26" s="2"/>
      <c r="W26" s="2"/>
    </row>
    <row r="27" spans="1:23" ht="12.6" customHeight="1">
      <c r="A27" s="83" t="s">
        <v>104</v>
      </c>
      <c r="B27" s="60" t="s">
        <v>786</v>
      </c>
      <c r="C27" s="84">
        <v>800</v>
      </c>
      <c r="D27" s="106">
        <v>5.6</v>
      </c>
      <c r="E27" s="84">
        <f t="shared" si="0"/>
        <v>1280</v>
      </c>
      <c r="F27" s="85" t="s">
        <v>39</v>
      </c>
      <c r="G27" s="86">
        <v>7</v>
      </c>
      <c r="H27" s="87">
        <v>4.74</v>
      </c>
      <c r="I27" s="84">
        <v>520</v>
      </c>
      <c r="J27" s="84">
        <v>157</v>
      </c>
      <c r="K27" s="88">
        <v>46</v>
      </c>
      <c r="L27" s="89">
        <f>AVERAGE(3350,3606,3550)</f>
        <v>3502</v>
      </c>
      <c r="M27" s="88" t="s">
        <v>981</v>
      </c>
      <c r="N27" s="84">
        <f>AVERAGE(4428,3870,4500)</f>
        <v>4266</v>
      </c>
      <c r="O27" s="84" t="s">
        <v>737</v>
      </c>
      <c r="P27" s="89">
        <v>2300</v>
      </c>
      <c r="Q27" s="84" t="s">
        <v>981</v>
      </c>
      <c r="R27" s="88" t="s">
        <v>32</v>
      </c>
      <c r="S27" s="176" t="s">
        <v>16</v>
      </c>
      <c r="T27" s="84" t="s">
        <v>16</v>
      </c>
      <c r="U27" s="88" t="s">
        <v>16</v>
      </c>
      <c r="V27" s="2"/>
      <c r="W27" s="2"/>
    </row>
    <row r="28" spans="1:23" ht="12.6" customHeight="1">
      <c r="A28" s="75" t="s">
        <v>104</v>
      </c>
      <c r="B28" s="66" t="s">
        <v>794</v>
      </c>
      <c r="C28" s="107" t="s">
        <v>106</v>
      </c>
      <c r="D28" s="77" t="s">
        <v>94</v>
      </c>
      <c r="E28" s="76" t="s">
        <v>107</v>
      </c>
      <c r="F28" s="78" t="s">
        <v>39</v>
      </c>
      <c r="G28" s="79">
        <v>0.28000000000000003</v>
      </c>
      <c r="H28" s="80">
        <v>0.61499999999999999</v>
      </c>
      <c r="I28" s="76">
        <v>100</v>
      </c>
      <c r="J28" s="76">
        <v>87</v>
      </c>
      <c r="K28" s="81" t="s">
        <v>40</v>
      </c>
      <c r="L28" s="76">
        <f>AVERAGE(350,355,405,450,400,400,330,435,406)</f>
        <v>392.33333333333331</v>
      </c>
      <c r="M28" s="81" t="s">
        <v>1072</v>
      </c>
      <c r="N28" s="76">
        <f>AVERAGE(480,655,475,650,685,600,405,510,504,602)</f>
        <v>556.6</v>
      </c>
      <c r="O28" s="76" t="s">
        <v>904</v>
      </c>
      <c r="P28" s="82">
        <v>490</v>
      </c>
      <c r="Q28" s="76" t="s">
        <v>1045</v>
      </c>
      <c r="R28" s="81" t="s">
        <v>33</v>
      </c>
      <c r="S28" s="82">
        <v>710</v>
      </c>
      <c r="T28" s="76" t="s">
        <v>1072</v>
      </c>
      <c r="U28" s="81" t="s">
        <v>906</v>
      </c>
      <c r="V28" s="2"/>
      <c r="W28" s="2"/>
    </row>
    <row r="29" spans="1:23" ht="12.6" customHeight="1">
      <c r="A29" s="75" t="s">
        <v>104</v>
      </c>
      <c r="B29" s="66" t="s">
        <v>1036</v>
      </c>
      <c r="C29" s="107" t="s">
        <v>1034</v>
      </c>
      <c r="D29" s="77">
        <v>2</v>
      </c>
      <c r="E29" s="76" t="s">
        <v>1035</v>
      </c>
      <c r="F29" s="78" t="s">
        <v>39</v>
      </c>
      <c r="G29" s="79">
        <v>0.27900000000000003</v>
      </c>
      <c r="H29" s="80">
        <v>0.94</v>
      </c>
      <c r="I29" s="76">
        <v>122.7</v>
      </c>
      <c r="J29" s="76">
        <v>87.6</v>
      </c>
      <c r="K29" s="81">
        <v>82</v>
      </c>
      <c r="L29" s="76"/>
      <c r="M29" s="81"/>
      <c r="N29" s="111">
        <f>AVERAGE(850)</f>
        <v>850</v>
      </c>
      <c r="O29" s="76" t="s">
        <v>1045</v>
      </c>
      <c r="P29" s="82"/>
      <c r="Q29" s="76"/>
      <c r="R29" s="81"/>
      <c r="S29" s="96">
        <v>1000</v>
      </c>
      <c r="T29" s="76" t="s">
        <v>1045</v>
      </c>
      <c r="U29" s="81" t="s">
        <v>32</v>
      </c>
      <c r="V29" s="2"/>
      <c r="W29" s="2"/>
    </row>
    <row r="30" spans="1:23" ht="12.6" customHeight="1">
      <c r="A30" s="75" t="s">
        <v>104</v>
      </c>
      <c r="B30" s="66" t="s">
        <v>793</v>
      </c>
      <c r="C30" s="80" t="s">
        <v>60</v>
      </c>
      <c r="D30" s="77">
        <v>2.8</v>
      </c>
      <c r="E30" s="80" t="s">
        <v>110</v>
      </c>
      <c r="F30" s="78" t="s">
        <v>39</v>
      </c>
      <c r="G30" s="79">
        <v>0.39600000000000002</v>
      </c>
      <c r="H30" s="80">
        <v>0.7</v>
      </c>
      <c r="I30" s="76">
        <v>114.3</v>
      </c>
      <c r="J30" s="76">
        <v>88.9</v>
      </c>
      <c r="K30" s="81">
        <v>82</v>
      </c>
      <c r="L30" s="76">
        <f>AVERAGE(348,327,360,403,400,440,315,375)</f>
        <v>371</v>
      </c>
      <c r="M30" s="81" t="s">
        <v>1045</v>
      </c>
      <c r="N30" s="76">
        <f>AVERAGE(460,529,500,440,550,515,535,603)</f>
        <v>516.5</v>
      </c>
      <c r="O30" s="16" t="s">
        <v>1072</v>
      </c>
      <c r="P30" s="82">
        <v>450</v>
      </c>
      <c r="Q30" s="76" t="s">
        <v>981</v>
      </c>
      <c r="R30" s="81" t="s">
        <v>30</v>
      </c>
      <c r="S30" s="82">
        <v>364</v>
      </c>
      <c r="T30" s="76" t="s">
        <v>917</v>
      </c>
      <c r="U30" s="81" t="s">
        <v>418</v>
      </c>
      <c r="V30" s="2"/>
      <c r="W30" s="2"/>
    </row>
    <row r="31" spans="1:23" ht="12.6" customHeight="1">
      <c r="A31" s="75" t="s">
        <v>104</v>
      </c>
      <c r="B31" s="66" t="s">
        <v>859</v>
      </c>
      <c r="C31" s="80" t="s">
        <v>62</v>
      </c>
      <c r="D31" s="77">
        <v>4</v>
      </c>
      <c r="E31" s="80" t="s">
        <v>860</v>
      </c>
      <c r="F31" s="78" t="s">
        <v>39</v>
      </c>
      <c r="G31" s="79">
        <v>0.45</v>
      </c>
      <c r="H31" s="80">
        <v>0.88500000000000001</v>
      </c>
      <c r="I31" s="76">
        <v>109.4</v>
      </c>
      <c r="J31" s="76">
        <v>88.6</v>
      </c>
      <c r="K31" s="81">
        <v>82</v>
      </c>
      <c r="L31" s="76">
        <f>AVERAGE(0)</f>
        <v>0</v>
      </c>
      <c r="M31" s="81" t="s">
        <v>16</v>
      </c>
      <c r="N31" s="76">
        <f>AVERAGE(630,800,795)</f>
        <v>741.66666666666663</v>
      </c>
      <c r="O31" s="16" t="s">
        <v>1072</v>
      </c>
      <c r="P31" s="82">
        <f>800*CA.US</f>
        <v>560</v>
      </c>
      <c r="Q31" s="76" t="s">
        <v>1045</v>
      </c>
      <c r="R31" s="81" t="s">
        <v>1037</v>
      </c>
      <c r="S31" s="82" t="s">
        <v>16</v>
      </c>
      <c r="T31" s="76" t="s">
        <v>16</v>
      </c>
      <c r="U31" s="81" t="s">
        <v>16</v>
      </c>
      <c r="V31" s="2"/>
      <c r="W31" s="2"/>
    </row>
    <row r="32" spans="1:23" ht="12.6" customHeight="1">
      <c r="A32" s="75" t="s">
        <v>104</v>
      </c>
      <c r="B32" s="66" t="s">
        <v>792</v>
      </c>
      <c r="C32" s="80" t="s">
        <v>65</v>
      </c>
      <c r="D32" s="77">
        <v>2.8</v>
      </c>
      <c r="E32" s="80" t="s">
        <v>111</v>
      </c>
      <c r="F32" s="78" t="s">
        <v>39</v>
      </c>
      <c r="G32" s="79">
        <v>0.4</v>
      </c>
      <c r="H32" s="80">
        <v>0.64500000000000002</v>
      </c>
      <c r="I32" s="76">
        <v>101</v>
      </c>
      <c r="J32" s="76">
        <v>84</v>
      </c>
      <c r="K32" s="81">
        <v>77</v>
      </c>
      <c r="L32" s="76">
        <f>AVERAGE(205,240,236,215,218,203,215,280)</f>
        <v>226.5</v>
      </c>
      <c r="M32" s="81" t="s">
        <v>1072</v>
      </c>
      <c r="N32" s="76">
        <f>AVERAGE(235,309)</f>
        <v>272</v>
      </c>
      <c r="O32" s="76" t="s">
        <v>878</v>
      </c>
      <c r="P32" s="82">
        <v>254</v>
      </c>
      <c r="Q32" s="76" t="s">
        <v>878</v>
      </c>
      <c r="R32" s="81" t="s">
        <v>30</v>
      </c>
      <c r="S32" s="82" t="s">
        <v>16</v>
      </c>
      <c r="T32" s="76" t="s">
        <v>16</v>
      </c>
      <c r="U32" s="81" t="s">
        <v>16</v>
      </c>
      <c r="V32" s="2"/>
      <c r="W32" s="2"/>
    </row>
    <row r="33" spans="1:23" ht="12.6" customHeight="1">
      <c r="A33" s="75" t="s">
        <v>104</v>
      </c>
      <c r="B33" s="66" t="s">
        <v>928</v>
      </c>
      <c r="C33" s="80" t="s">
        <v>112</v>
      </c>
      <c r="D33" s="77" t="s">
        <v>113</v>
      </c>
      <c r="E33" s="80" t="s">
        <v>114</v>
      </c>
      <c r="F33" s="78" t="s">
        <v>39</v>
      </c>
      <c r="G33" s="103" t="s">
        <v>115</v>
      </c>
      <c r="H33" s="80">
        <v>1.65</v>
      </c>
      <c r="I33" s="76">
        <v>218</v>
      </c>
      <c r="J33" s="76">
        <v>94</v>
      </c>
      <c r="K33" s="81" t="s">
        <v>116</v>
      </c>
      <c r="L33" s="76">
        <f>AVERAGE(540,581,510,400,600,530,650,600,710,641,640)</f>
        <v>582</v>
      </c>
      <c r="M33" s="81" t="s">
        <v>1013</v>
      </c>
      <c r="N33" s="76">
        <f>AVERAGE(700,750,850,761,710,798,692,723)</f>
        <v>748</v>
      </c>
      <c r="O33" s="76" t="s">
        <v>973</v>
      </c>
      <c r="P33" s="82">
        <v>550</v>
      </c>
      <c r="Q33" s="76" t="s">
        <v>981</v>
      </c>
      <c r="R33" s="81" t="s">
        <v>30</v>
      </c>
      <c r="S33" s="82">
        <v>695</v>
      </c>
      <c r="T33" s="76" t="s">
        <v>878</v>
      </c>
      <c r="U33" s="81" t="s">
        <v>30</v>
      </c>
      <c r="V33" s="2"/>
      <c r="W33" s="2"/>
    </row>
    <row r="34" spans="1:23" ht="12.6" customHeight="1">
      <c r="A34" s="75" t="s">
        <v>104</v>
      </c>
      <c r="B34" s="66" t="s">
        <v>791</v>
      </c>
      <c r="C34" s="80" t="s">
        <v>112</v>
      </c>
      <c r="D34" s="77" t="s">
        <v>113</v>
      </c>
      <c r="E34" s="80" t="s">
        <v>114</v>
      </c>
      <c r="F34" s="78" t="s">
        <v>39</v>
      </c>
      <c r="G34" s="79">
        <v>0.5</v>
      </c>
      <c r="H34" s="80">
        <v>1.96</v>
      </c>
      <c r="I34" s="76">
        <v>218.4</v>
      </c>
      <c r="J34" s="76">
        <v>104.1</v>
      </c>
      <c r="K34" s="81">
        <v>95</v>
      </c>
      <c r="L34" s="76">
        <f>AVERAGE(725,975,860,903,906,962)</f>
        <v>888.5</v>
      </c>
      <c r="M34" s="81" t="s">
        <v>1045</v>
      </c>
      <c r="N34" s="76">
        <f>AVERAGE(1095,1202,1084,1279,887,955,1000,962)</f>
        <v>1058</v>
      </c>
      <c r="O34" s="76" t="s">
        <v>878</v>
      </c>
      <c r="P34" s="82">
        <v>1010</v>
      </c>
      <c r="Q34" s="76" t="s">
        <v>1072</v>
      </c>
      <c r="R34" s="81" t="s">
        <v>906</v>
      </c>
      <c r="S34" s="82" t="s">
        <v>16</v>
      </c>
      <c r="T34" s="76" t="s">
        <v>16</v>
      </c>
      <c r="U34" s="81" t="s">
        <v>16</v>
      </c>
      <c r="V34" s="2"/>
      <c r="W34" s="2"/>
    </row>
    <row r="35" spans="1:23" ht="12.6" customHeight="1">
      <c r="A35" s="75" t="s">
        <v>104</v>
      </c>
      <c r="B35" s="66" t="s">
        <v>790</v>
      </c>
      <c r="C35" s="80" t="s">
        <v>72</v>
      </c>
      <c r="D35" s="77">
        <v>2.8</v>
      </c>
      <c r="E35" s="80" t="s">
        <v>117</v>
      </c>
      <c r="F35" s="78" t="s">
        <v>39</v>
      </c>
      <c r="G35" s="79">
        <v>1.8</v>
      </c>
      <c r="H35" s="80">
        <v>1.39</v>
      </c>
      <c r="I35" s="76">
        <v>180</v>
      </c>
      <c r="J35" s="76">
        <v>86</v>
      </c>
      <c r="K35" s="81">
        <v>77</v>
      </c>
      <c r="L35" s="76">
        <f>AVERAGE(440,511,429,520,437,530,530,433,499,455)</f>
        <v>478.4</v>
      </c>
      <c r="M35" s="81" t="s">
        <v>1072</v>
      </c>
      <c r="N35" s="76">
        <f>AVERAGE(500,550,595,570,650,700,635,640)</f>
        <v>605</v>
      </c>
      <c r="O35" s="76" t="s">
        <v>1072</v>
      </c>
      <c r="P35" s="82">
        <v>610</v>
      </c>
      <c r="Q35" s="76" t="s">
        <v>1045</v>
      </c>
      <c r="R35" s="81" t="s">
        <v>33</v>
      </c>
      <c r="S35" s="82">
        <v>725</v>
      </c>
      <c r="T35" s="76" t="s">
        <v>878</v>
      </c>
      <c r="U35" s="81" t="s">
        <v>30</v>
      </c>
      <c r="V35" s="2"/>
      <c r="W35" s="2"/>
    </row>
    <row r="36" spans="1:23" ht="12.6" customHeight="1">
      <c r="A36" s="75" t="s">
        <v>104</v>
      </c>
      <c r="B36" s="66" t="s">
        <v>789</v>
      </c>
      <c r="C36" s="80" t="s">
        <v>72</v>
      </c>
      <c r="D36" s="77">
        <v>2.8</v>
      </c>
      <c r="E36" s="80" t="s">
        <v>117</v>
      </c>
      <c r="F36" s="78" t="s">
        <v>39</v>
      </c>
      <c r="G36" s="79">
        <v>1.4</v>
      </c>
      <c r="H36" s="80">
        <v>1.43</v>
      </c>
      <c r="I36" s="76">
        <v>197.6</v>
      </c>
      <c r="J36" s="76">
        <v>86.4</v>
      </c>
      <c r="K36" s="81">
        <v>77</v>
      </c>
      <c r="L36" s="76">
        <f>AVERAGE(799,810,778,810,820,700,820,790,871,760)</f>
        <v>795.8</v>
      </c>
      <c r="M36" s="81" t="s">
        <v>981</v>
      </c>
      <c r="N36" s="76">
        <f>AVERAGE(899,849,915,953,1009,930,973,967)</f>
        <v>936.875</v>
      </c>
      <c r="O36" s="76" t="s">
        <v>1045</v>
      </c>
      <c r="P36" s="82">
        <v>960</v>
      </c>
      <c r="Q36" s="76" t="s">
        <v>1072</v>
      </c>
      <c r="R36" s="81" t="s">
        <v>30</v>
      </c>
      <c r="S36" s="82">
        <v>1030</v>
      </c>
      <c r="T36" s="76" t="s">
        <v>917</v>
      </c>
      <c r="U36" s="81" t="s">
        <v>906</v>
      </c>
      <c r="V36" s="2"/>
      <c r="W36" s="2"/>
    </row>
    <row r="37" spans="1:23" ht="12.6" customHeight="1">
      <c r="A37" s="75" t="s">
        <v>104</v>
      </c>
      <c r="B37" s="66" t="s">
        <v>844</v>
      </c>
      <c r="C37" s="80" t="s">
        <v>91</v>
      </c>
      <c r="D37" s="76">
        <v>4</v>
      </c>
      <c r="E37" s="80" t="s">
        <v>290</v>
      </c>
      <c r="F37" s="78" t="s">
        <v>39</v>
      </c>
      <c r="G37" s="79">
        <v>1.8</v>
      </c>
      <c r="H37" s="80">
        <v>1.48</v>
      </c>
      <c r="I37" s="76">
        <v>224</v>
      </c>
      <c r="J37" s="76">
        <v>92</v>
      </c>
      <c r="K37" s="81">
        <v>82</v>
      </c>
      <c r="L37" s="76">
        <f>AVERAGE(580,431,550,523,490,504,594,650,620)</f>
        <v>549.11111111111109</v>
      </c>
      <c r="M37" s="81" t="s">
        <v>1013</v>
      </c>
      <c r="N37" s="76">
        <f>AVERAGE(780,649,695,750,722,750,700,700)</f>
        <v>718.25</v>
      </c>
      <c r="O37" s="76" t="s">
        <v>917</v>
      </c>
      <c r="P37" s="82">
        <f>900*CA.US</f>
        <v>630</v>
      </c>
      <c r="Q37" s="76" t="s">
        <v>1045</v>
      </c>
      <c r="R37" s="81" t="s">
        <v>1037</v>
      </c>
      <c r="S37" s="82" t="s">
        <v>16</v>
      </c>
      <c r="T37" s="76" t="s">
        <v>16</v>
      </c>
      <c r="U37" s="81" t="s">
        <v>16</v>
      </c>
      <c r="V37" s="2"/>
      <c r="W37" s="2"/>
    </row>
    <row r="38" spans="1:23" ht="12.6" customHeight="1">
      <c r="A38" s="75" t="s">
        <v>104</v>
      </c>
      <c r="B38" s="66" t="s">
        <v>711</v>
      </c>
      <c r="C38" s="80" t="s">
        <v>118</v>
      </c>
      <c r="D38" s="77">
        <v>2.8</v>
      </c>
      <c r="E38" s="80" t="s">
        <v>119</v>
      </c>
      <c r="F38" s="78" t="s">
        <v>39</v>
      </c>
      <c r="G38" s="79">
        <v>2.5</v>
      </c>
      <c r="H38" s="80">
        <v>2.6</v>
      </c>
      <c r="I38" s="76">
        <v>268.5</v>
      </c>
      <c r="J38" s="76">
        <v>112.8</v>
      </c>
      <c r="K38" s="81">
        <v>105</v>
      </c>
      <c r="L38" s="76">
        <f>AVERAGE(700,895,895,880,792)</f>
        <v>832.4</v>
      </c>
      <c r="M38" s="81" t="s">
        <v>1072</v>
      </c>
      <c r="N38" s="76">
        <f>AVERAGE(1295,1295,1600,1317,1650)</f>
        <v>1431.4</v>
      </c>
      <c r="O38" s="76" t="s">
        <v>1072</v>
      </c>
      <c r="P38" s="82">
        <v>1360</v>
      </c>
      <c r="Q38" s="76" t="s">
        <v>981</v>
      </c>
      <c r="R38" s="81" t="s">
        <v>30</v>
      </c>
      <c r="S38" s="82">
        <v>1600</v>
      </c>
      <c r="T38" s="76" t="s">
        <v>739</v>
      </c>
      <c r="U38" s="81" t="s">
        <v>30</v>
      </c>
      <c r="V38" s="2"/>
      <c r="W38" s="2"/>
    </row>
    <row r="39" spans="1:23" ht="12.6" customHeight="1">
      <c r="A39" s="75" t="s">
        <v>104</v>
      </c>
      <c r="B39" s="66" t="s">
        <v>710</v>
      </c>
      <c r="C39" s="80" t="s">
        <v>118</v>
      </c>
      <c r="D39" s="77">
        <v>2.8</v>
      </c>
      <c r="E39" s="80" t="s">
        <v>119</v>
      </c>
      <c r="F39" s="78" t="s">
        <v>39</v>
      </c>
      <c r="G39" s="177" t="s">
        <v>687</v>
      </c>
      <c r="H39" s="80">
        <v>2.95</v>
      </c>
      <c r="I39" s="76">
        <v>289.2</v>
      </c>
      <c r="J39" s="76">
        <v>114</v>
      </c>
      <c r="K39" s="81">
        <v>105</v>
      </c>
      <c r="L39" s="76">
        <f>AVERAGE(1599,1677,1730,1499,1600,1655)</f>
        <v>1626.6666666666667</v>
      </c>
      <c r="M39" s="81" t="s">
        <v>1072</v>
      </c>
      <c r="N39" s="76">
        <f>AVERAGE(2500,2147,1898,2034,2250,2091,1978,2250,2240,2240)</f>
        <v>2162.8000000000002</v>
      </c>
      <c r="O39" s="81" t="s">
        <v>904</v>
      </c>
      <c r="P39" s="82">
        <v>1700</v>
      </c>
      <c r="Q39" s="76" t="s">
        <v>981</v>
      </c>
      <c r="R39" s="81" t="s">
        <v>33</v>
      </c>
      <c r="S39" s="96">
        <v>2700</v>
      </c>
      <c r="T39" s="76" t="s">
        <v>772</v>
      </c>
      <c r="U39" s="81" t="s">
        <v>32</v>
      </c>
      <c r="V39" s="2"/>
      <c r="W39" s="2"/>
    </row>
    <row r="40" spans="1:23" ht="12.6" customHeight="1">
      <c r="A40" s="75" t="s">
        <v>104</v>
      </c>
      <c r="B40" s="66" t="s">
        <v>998</v>
      </c>
      <c r="C40" s="80" t="s">
        <v>118</v>
      </c>
      <c r="D40" s="77">
        <v>2.8</v>
      </c>
      <c r="E40" s="80" t="s">
        <v>119</v>
      </c>
      <c r="F40" s="78" t="s">
        <v>39</v>
      </c>
      <c r="G40" s="79">
        <v>1.5</v>
      </c>
      <c r="H40" s="80">
        <v>3.39</v>
      </c>
      <c r="I40" s="76">
        <v>291</v>
      </c>
      <c r="J40" s="76">
        <v>121.4</v>
      </c>
      <c r="K40" s="81">
        <v>105</v>
      </c>
      <c r="L40" s="76">
        <f>AVERAGE(2430,2450,2196,2107)</f>
        <v>2295.75</v>
      </c>
      <c r="M40" s="81" t="s">
        <v>1072</v>
      </c>
      <c r="N40" s="76">
        <f>AVERAGE(2452,2430,2800)</f>
        <v>2560.6666666666665</v>
      </c>
      <c r="O40" s="76" t="s">
        <v>1072</v>
      </c>
      <c r="P40" s="82">
        <v>2490</v>
      </c>
      <c r="Q40" s="76" t="s">
        <v>1072</v>
      </c>
      <c r="R40" s="81" t="s">
        <v>906</v>
      </c>
      <c r="S40" s="96">
        <v>3600</v>
      </c>
      <c r="T40" s="76" t="s">
        <v>917</v>
      </c>
      <c r="U40" s="81" t="s">
        <v>30</v>
      </c>
      <c r="V40" s="2"/>
      <c r="W40" s="2"/>
    </row>
    <row r="41" spans="1:23" ht="12.6" customHeight="1">
      <c r="A41" s="75" t="s">
        <v>104</v>
      </c>
      <c r="B41" s="66" t="s">
        <v>874</v>
      </c>
      <c r="C41" s="80" t="s">
        <v>307</v>
      </c>
      <c r="D41" s="77" t="s">
        <v>713</v>
      </c>
      <c r="E41" s="80" t="s">
        <v>308</v>
      </c>
      <c r="F41" s="78" t="s">
        <v>39</v>
      </c>
      <c r="G41" s="79">
        <v>2.2000000000000002</v>
      </c>
      <c r="H41" s="80">
        <v>1.91</v>
      </c>
      <c r="I41" s="76">
        <v>252</v>
      </c>
      <c r="J41" s="76">
        <v>74.7</v>
      </c>
      <c r="K41" s="81">
        <v>58</v>
      </c>
      <c r="L41" s="76">
        <f>AVERAGE(338,391,420,480,540,510,495,525)</f>
        <v>462.375</v>
      </c>
      <c r="M41" s="81" t="s">
        <v>1072</v>
      </c>
      <c r="N41" s="76">
        <f>AVERAGE(610,636,719,710,755,750,771)</f>
        <v>707.28571428571433</v>
      </c>
      <c r="O41" s="76" t="s">
        <v>1033</v>
      </c>
      <c r="P41" s="82">
        <v>500</v>
      </c>
      <c r="Q41" s="76" t="s">
        <v>1072</v>
      </c>
      <c r="R41" s="81" t="s">
        <v>33</v>
      </c>
      <c r="S41" s="82">
        <v>725</v>
      </c>
      <c r="T41" s="76" t="s">
        <v>917</v>
      </c>
      <c r="U41" s="81" t="s">
        <v>29</v>
      </c>
      <c r="V41" s="2"/>
      <c r="W41" s="2"/>
    </row>
    <row r="42" spans="1:23" ht="12.6" customHeight="1">
      <c r="A42" s="75" t="s">
        <v>104</v>
      </c>
      <c r="B42" s="66" t="s">
        <v>1025</v>
      </c>
      <c r="C42" s="80" t="s">
        <v>838</v>
      </c>
      <c r="D42" s="77" t="s">
        <v>713</v>
      </c>
      <c r="E42" s="80" t="s">
        <v>839</v>
      </c>
      <c r="F42" s="78" t="s">
        <v>39</v>
      </c>
      <c r="G42" s="79">
        <v>2.8</v>
      </c>
      <c r="H42" s="80">
        <v>1.93</v>
      </c>
      <c r="I42" s="76">
        <v>260.10000000000002</v>
      </c>
      <c r="J42" s="76">
        <v>105</v>
      </c>
      <c r="K42" s="81">
        <v>95</v>
      </c>
      <c r="L42" s="76">
        <f>AVERAGE(820)</f>
        <v>820</v>
      </c>
      <c r="M42" s="81" t="s">
        <v>1072</v>
      </c>
      <c r="N42" s="111">
        <f>AVERAGE(900,850)</f>
        <v>875</v>
      </c>
      <c r="O42" s="76" t="s">
        <v>1072</v>
      </c>
      <c r="P42" s="82" t="s">
        <v>16</v>
      </c>
      <c r="Q42" s="76" t="s">
        <v>16</v>
      </c>
      <c r="R42" s="81" t="s">
        <v>16</v>
      </c>
      <c r="S42" s="96">
        <v>1090</v>
      </c>
      <c r="T42" s="76" t="s">
        <v>996</v>
      </c>
      <c r="U42" s="81" t="s">
        <v>32</v>
      </c>
      <c r="V42" s="2"/>
      <c r="W42" s="2"/>
    </row>
    <row r="43" spans="1:23" ht="12.6" customHeight="1">
      <c r="A43" s="75" t="s">
        <v>104</v>
      </c>
      <c r="B43" s="66" t="s">
        <v>1026</v>
      </c>
      <c r="C43" s="80" t="s">
        <v>838</v>
      </c>
      <c r="D43" s="77" t="s">
        <v>713</v>
      </c>
      <c r="E43" s="80" t="s">
        <v>839</v>
      </c>
      <c r="F43" s="78" t="s">
        <v>39</v>
      </c>
      <c r="G43" s="79">
        <v>2.86</v>
      </c>
      <c r="H43" s="80">
        <v>2.86</v>
      </c>
      <c r="I43" s="76">
        <v>290.2</v>
      </c>
      <c r="J43" s="76">
        <v>121</v>
      </c>
      <c r="K43" s="81">
        <v>105</v>
      </c>
      <c r="L43" s="76">
        <f>AVERAGE(1683,1898,1669)</f>
        <v>1750</v>
      </c>
      <c r="M43" s="81" t="s">
        <v>1045</v>
      </c>
      <c r="N43" s="111">
        <f>AVERAGE(1719,1999,2000,2200,2000)</f>
        <v>1983.6</v>
      </c>
      <c r="O43" s="76" t="s">
        <v>1027</v>
      </c>
      <c r="P43" s="82" t="s">
        <v>16</v>
      </c>
      <c r="Q43" s="76" t="s">
        <v>16</v>
      </c>
      <c r="R43" s="81" t="s">
        <v>16</v>
      </c>
      <c r="S43" s="96">
        <v>2000</v>
      </c>
      <c r="T43" s="76" t="s">
        <v>996</v>
      </c>
      <c r="U43" s="81" t="s">
        <v>32</v>
      </c>
      <c r="V43" s="2"/>
      <c r="W43" s="2"/>
    </row>
    <row r="44" spans="1:23" ht="12.6" customHeight="1">
      <c r="A44" s="75" t="s">
        <v>104</v>
      </c>
      <c r="B44" s="66" t="s">
        <v>698</v>
      </c>
      <c r="C44" s="80" t="s">
        <v>130</v>
      </c>
      <c r="D44" s="77">
        <v>2.8</v>
      </c>
      <c r="E44" s="80" t="s">
        <v>337</v>
      </c>
      <c r="F44" s="78" t="s">
        <v>39</v>
      </c>
      <c r="G44" s="79" t="s">
        <v>340</v>
      </c>
      <c r="H44" s="77">
        <v>15.7</v>
      </c>
      <c r="I44" s="76">
        <v>726</v>
      </c>
      <c r="J44" s="76">
        <v>236</v>
      </c>
      <c r="K44" s="81" t="s">
        <v>339</v>
      </c>
      <c r="L44" s="76">
        <f>AVERAGE(0)</f>
        <v>0</v>
      </c>
      <c r="M44" s="81" t="s">
        <v>16</v>
      </c>
      <c r="N44" s="76" t="s">
        <v>338</v>
      </c>
      <c r="O44" s="76" t="s">
        <v>341</v>
      </c>
      <c r="P44" s="82" t="s">
        <v>16</v>
      </c>
      <c r="Q44" s="76" t="s">
        <v>16</v>
      </c>
      <c r="R44" s="81" t="s">
        <v>16</v>
      </c>
      <c r="S44" s="96">
        <v>14995</v>
      </c>
      <c r="T44" s="76" t="s">
        <v>917</v>
      </c>
      <c r="U44" s="81" t="s">
        <v>906</v>
      </c>
      <c r="V44" s="2"/>
      <c r="W44" s="2"/>
    </row>
    <row r="45" spans="1:23" ht="12.6" customHeight="1">
      <c r="A45" s="83" t="s">
        <v>104</v>
      </c>
      <c r="B45" s="60" t="s">
        <v>511</v>
      </c>
      <c r="C45" s="84" t="s">
        <v>120</v>
      </c>
      <c r="D45" s="106">
        <v>5.6</v>
      </c>
      <c r="E45" s="84" t="s">
        <v>121</v>
      </c>
      <c r="F45" s="85" t="s">
        <v>39</v>
      </c>
      <c r="G45" s="86">
        <v>6</v>
      </c>
      <c r="H45" s="87">
        <v>5.87</v>
      </c>
      <c r="I45" s="84">
        <v>541.5</v>
      </c>
      <c r="J45" s="84">
        <v>165.5</v>
      </c>
      <c r="K45" s="88" t="s">
        <v>122</v>
      </c>
      <c r="L45" s="89">
        <f>AVERAGE(4198,4495,4000,5149,3850)</f>
        <v>4338.3999999999996</v>
      </c>
      <c r="M45" s="88" t="s">
        <v>973</v>
      </c>
      <c r="N45" s="84">
        <f>AVERAGE(6344,5149,5500,5355)</f>
        <v>5587</v>
      </c>
      <c r="O45" s="84" t="s">
        <v>970</v>
      </c>
      <c r="P45" s="89" t="s">
        <v>16</v>
      </c>
      <c r="Q45" s="84" t="s">
        <v>16</v>
      </c>
      <c r="R45" s="88" t="s">
        <v>16</v>
      </c>
      <c r="S45" s="89">
        <v>4850</v>
      </c>
      <c r="T45" s="84" t="s">
        <v>608</v>
      </c>
      <c r="U45" s="88" t="s">
        <v>33</v>
      </c>
      <c r="V45" s="2"/>
      <c r="W45" s="2"/>
    </row>
    <row r="46" spans="1:23" s="17" customFormat="1" ht="12.6" customHeight="1">
      <c r="A46" s="97" t="s">
        <v>405</v>
      </c>
      <c r="B46" s="98"/>
      <c r="C46" s="34" t="s">
        <v>16</v>
      </c>
      <c r="D46" s="99" t="s">
        <v>16</v>
      </c>
      <c r="E46" s="34" t="s">
        <v>16</v>
      </c>
      <c r="F46" s="100" t="s">
        <v>16</v>
      </c>
      <c r="G46" s="101" t="s">
        <v>16</v>
      </c>
      <c r="H46" s="102" t="s">
        <v>16</v>
      </c>
      <c r="I46" s="34" t="s">
        <v>16</v>
      </c>
      <c r="J46" s="34" t="s">
        <v>16</v>
      </c>
      <c r="K46" s="34" t="s">
        <v>16</v>
      </c>
      <c r="L46" s="34" t="s">
        <v>16</v>
      </c>
      <c r="M46" s="34" t="s">
        <v>16</v>
      </c>
      <c r="N46" s="34" t="s">
        <v>16</v>
      </c>
      <c r="O46" s="34" t="s">
        <v>16</v>
      </c>
      <c r="P46" s="34" t="s">
        <v>16</v>
      </c>
      <c r="Q46" s="34" t="s">
        <v>16</v>
      </c>
      <c r="R46" s="34" t="s">
        <v>16</v>
      </c>
      <c r="S46" s="34" t="s">
        <v>16</v>
      </c>
      <c r="T46" s="34" t="s">
        <v>16</v>
      </c>
      <c r="U46" s="34" t="s">
        <v>16</v>
      </c>
    </row>
    <row r="47" spans="1:23" ht="12.6" customHeight="1">
      <c r="A47" s="75" t="s">
        <v>123</v>
      </c>
      <c r="B47" s="66" t="s">
        <v>394</v>
      </c>
      <c r="C47" s="76">
        <v>14</v>
      </c>
      <c r="D47" s="77">
        <v>2.8</v>
      </c>
      <c r="E47" s="76">
        <f t="shared" ref="E47:E62" si="7">1.6*C47</f>
        <v>22.400000000000002</v>
      </c>
      <c r="F47" s="78" t="s">
        <v>39</v>
      </c>
      <c r="G47" s="79">
        <v>0.2</v>
      </c>
      <c r="H47" s="80">
        <v>0.66</v>
      </c>
      <c r="I47" s="76">
        <v>89</v>
      </c>
      <c r="J47" s="76">
        <v>87</v>
      </c>
      <c r="K47" s="81" t="s">
        <v>40</v>
      </c>
      <c r="L47" s="76">
        <f>AVERAGE(320,300,392,390,350,395,419)</f>
        <v>366.57142857142856</v>
      </c>
      <c r="M47" s="81" t="s">
        <v>917</v>
      </c>
      <c r="N47" s="95">
        <f>AVERAGE(447)</f>
        <v>447</v>
      </c>
      <c r="O47" s="76" t="s">
        <v>878</v>
      </c>
      <c r="P47" s="82">
        <v>465</v>
      </c>
      <c r="Q47" s="76" t="s">
        <v>1045</v>
      </c>
      <c r="R47" s="81" t="s">
        <v>583</v>
      </c>
      <c r="S47" s="108">
        <v>500</v>
      </c>
      <c r="T47" s="109" t="s">
        <v>813</v>
      </c>
      <c r="U47" s="110" t="s">
        <v>809</v>
      </c>
      <c r="V47" s="2"/>
      <c r="W47" s="2"/>
    </row>
    <row r="48" spans="1:23" ht="12.6" customHeight="1">
      <c r="A48" s="75" t="s">
        <v>123</v>
      </c>
      <c r="B48" s="66" t="s">
        <v>471</v>
      </c>
      <c r="C48" s="76">
        <v>17</v>
      </c>
      <c r="D48" s="77">
        <v>3.5</v>
      </c>
      <c r="E48" s="76">
        <f>1.6*C48</f>
        <v>27.200000000000003</v>
      </c>
      <c r="F48" s="78" t="s">
        <v>124</v>
      </c>
      <c r="G48" s="79">
        <v>0.25</v>
      </c>
      <c r="H48" s="80">
        <v>0.27</v>
      </c>
      <c r="I48" s="76">
        <v>45</v>
      </c>
      <c r="J48" s="76">
        <v>70</v>
      </c>
      <c r="K48" s="81" t="s">
        <v>427</v>
      </c>
      <c r="L48" s="82">
        <f>AVERAGE(153,139,133,210,143,158,168,160,154,175,153)</f>
        <v>158.72727272727272</v>
      </c>
      <c r="M48" s="81" t="s">
        <v>1072</v>
      </c>
      <c r="N48" s="76">
        <f>AVERAGE(190,219,238,247,213,205,250,228,269,204,200)</f>
        <v>223.90909090909091</v>
      </c>
      <c r="O48" s="81" t="s">
        <v>1010</v>
      </c>
      <c r="P48" s="82">
        <v>225</v>
      </c>
      <c r="Q48" s="76" t="s">
        <v>878</v>
      </c>
      <c r="R48" s="81" t="s">
        <v>30</v>
      </c>
      <c r="S48" s="82">
        <v>250</v>
      </c>
      <c r="T48" s="76" t="s">
        <v>513</v>
      </c>
      <c r="U48" s="81" t="s">
        <v>32</v>
      </c>
      <c r="V48" s="2"/>
      <c r="W48" s="2"/>
    </row>
    <row r="49" spans="1:23" ht="12.6" customHeight="1">
      <c r="A49" s="75" t="s">
        <v>123</v>
      </c>
      <c r="B49" s="66" t="s">
        <v>470</v>
      </c>
      <c r="C49" s="76">
        <v>17</v>
      </c>
      <c r="D49" s="77">
        <v>3.5</v>
      </c>
      <c r="E49" s="76">
        <f t="shared" si="7"/>
        <v>27.200000000000003</v>
      </c>
      <c r="F49" s="78" t="s">
        <v>124</v>
      </c>
      <c r="G49" s="79">
        <v>0.25</v>
      </c>
      <c r="H49" s="80">
        <v>0.27</v>
      </c>
      <c r="I49" s="76">
        <v>48</v>
      </c>
      <c r="J49" s="76">
        <v>71</v>
      </c>
      <c r="K49" s="81" t="s">
        <v>427</v>
      </c>
      <c r="L49" s="82">
        <f>AVERAGE(200,155,210,168,203,179,158,184,194,222)</f>
        <v>187.3</v>
      </c>
      <c r="M49" s="81" t="s">
        <v>1045</v>
      </c>
      <c r="N49" s="76">
        <f>AVERAGE(268,285,260,255,252,275,203,275,317)</f>
        <v>265.55555555555554</v>
      </c>
      <c r="O49" s="76" t="s">
        <v>1033</v>
      </c>
      <c r="P49" s="82">
        <v>230</v>
      </c>
      <c r="Q49" s="76" t="s">
        <v>917</v>
      </c>
      <c r="R49" s="81" t="s">
        <v>32</v>
      </c>
      <c r="S49" s="82">
        <v>265</v>
      </c>
      <c r="T49" s="76" t="s">
        <v>584</v>
      </c>
      <c r="U49" s="81" t="s">
        <v>30</v>
      </c>
      <c r="V49" s="2"/>
      <c r="W49" s="2"/>
    </row>
    <row r="50" spans="1:23" ht="12.6" customHeight="1">
      <c r="A50" s="75" t="s">
        <v>123</v>
      </c>
      <c r="B50" s="66" t="s">
        <v>1059</v>
      </c>
      <c r="C50" s="76">
        <v>35</v>
      </c>
      <c r="D50" s="77">
        <v>1.8</v>
      </c>
      <c r="E50" s="76">
        <f t="shared" ref="E50" si="8">1.6*C50</f>
        <v>56</v>
      </c>
      <c r="F50" s="78" t="s">
        <v>39</v>
      </c>
      <c r="G50" s="79">
        <v>0.2</v>
      </c>
      <c r="H50" s="80">
        <v>0.48</v>
      </c>
      <c r="I50" s="76">
        <v>80.8</v>
      </c>
      <c r="J50" s="76">
        <v>80.400000000000006</v>
      </c>
      <c r="K50" s="81">
        <v>67</v>
      </c>
      <c r="L50" s="76">
        <f t="shared" ref="L50:L51" si="9">AVERAGE(0)</f>
        <v>0</v>
      </c>
      <c r="M50" s="81" t="s">
        <v>16</v>
      </c>
      <c r="N50" s="76">
        <f>AVERAGE(410)</f>
        <v>410</v>
      </c>
      <c r="O50" s="76" t="s">
        <v>1072</v>
      </c>
      <c r="P50" s="82" t="s">
        <v>16</v>
      </c>
      <c r="Q50" s="76" t="s">
        <v>16</v>
      </c>
      <c r="R50" s="81" t="s">
        <v>16</v>
      </c>
      <c r="S50" s="82">
        <v>530</v>
      </c>
      <c r="T50" s="76" t="s">
        <v>1072</v>
      </c>
      <c r="U50" s="81" t="s">
        <v>33</v>
      </c>
      <c r="V50" s="2"/>
      <c r="W50" s="2"/>
    </row>
    <row r="51" spans="1:23" ht="12.6" customHeight="1">
      <c r="A51" s="75" t="s">
        <v>123</v>
      </c>
      <c r="B51" s="66" t="s">
        <v>1039</v>
      </c>
      <c r="C51" s="76">
        <v>45</v>
      </c>
      <c r="D51" s="77">
        <v>1.8</v>
      </c>
      <c r="E51" s="76">
        <f t="shared" si="7"/>
        <v>72</v>
      </c>
      <c r="F51" s="78" t="s">
        <v>39</v>
      </c>
      <c r="G51" s="79">
        <v>0.28999999999999998</v>
      </c>
      <c r="H51" s="80">
        <v>0.54400000000000004</v>
      </c>
      <c r="I51" s="76">
        <v>91.4</v>
      </c>
      <c r="J51" s="76">
        <v>80.400000000000006</v>
      </c>
      <c r="K51" s="81">
        <v>67</v>
      </c>
      <c r="L51" s="76">
        <f t="shared" si="9"/>
        <v>0</v>
      </c>
      <c r="M51" s="81" t="s">
        <v>16</v>
      </c>
      <c r="N51" s="111">
        <f>AVERAGE(599)</f>
        <v>599</v>
      </c>
      <c r="O51" s="76" t="s">
        <v>1072</v>
      </c>
      <c r="P51" s="82" t="s">
        <v>16</v>
      </c>
      <c r="Q51" s="76" t="s">
        <v>16</v>
      </c>
      <c r="R51" s="81" t="s">
        <v>16</v>
      </c>
      <c r="S51" s="82">
        <v>450</v>
      </c>
      <c r="T51" s="76" t="s">
        <v>1072</v>
      </c>
      <c r="U51" s="81" t="s">
        <v>33</v>
      </c>
      <c r="V51" s="2"/>
      <c r="W51" s="2"/>
    </row>
    <row r="52" spans="1:23" ht="12.6" customHeight="1">
      <c r="A52" s="75" t="s">
        <v>123</v>
      </c>
      <c r="B52" s="66" t="s">
        <v>729</v>
      </c>
      <c r="C52" s="76">
        <v>90</v>
      </c>
      <c r="D52" s="77">
        <v>2.5</v>
      </c>
      <c r="E52" s="76">
        <f t="shared" si="7"/>
        <v>144</v>
      </c>
      <c r="F52" s="78" t="s">
        <v>124</v>
      </c>
      <c r="G52" s="79">
        <v>0.39</v>
      </c>
      <c r="H52" s="80">
        <v>0.41</v>
      </c>
      <c r="I52" s="76">
        <v>102</v>
      </c>
      <c r="J52" s="76">
        <v>68</v>
      </c>
      <c r="K52" s="81">
        <v>55</v>
      </c>
      <c r="L52" s="82">
        <f>AVERAGE(130,124,140,131,135,129,126,130)</f>
        <v>130.625</v>
      </c>
      <c r="M52" s="81" t="s">
        <v>1045</v>
      </c>
      <c r="N52" s="76">
        <f>AVERAGE(286,295,199)</f>
        <v>260</v>
      </c>
      <c r="O52" s="76" t="s">
        <v>981</v>
      </c>
      <c r="P52" s="82">
        <v>130</v>
      </c>
      <c r="Q52" s="76" t="s">
        <v>981</v>
      </c>
      <c r="R52" s="81" t="s">
        <v>33</v>
      </c>
      <c r="S52" s="58">
        <v>225</v>
      </c>
      <c r="T52" s="2" t="s">
        <v>917</v>
      </c>
      <c r="U52" s="41" t="s">
        <v>35</v>
      </c>
      <c r="V52" s="2"/>
      <c r="W52" s="2"/>
    </row>
    <row r="53" spans="1:23" ht="12.6" customHeight="1">
      <c r="A53" s="75" t="s">
        <v>123</v>
      </c>
      <c r="B53" s="66" t="s">
        <v>578</v>
      </c>
      <c r="C53" s="76">
        <v>90</v>
      </c>
      <c r="D53" s="77">
        <v>2.8</v>
      </c>
      <c r="E53" s="76">
        <f>1.6*C53</f>
        <v>144</v>
      </c>
      <c r="F53" s="78" t="s">
        <v>39</v>
      </c>
      <c r="G53" s="79">
        <v>0.28999999999999998</v>
      </c>
      <c r="H53" s="80">
        <v>0.4</v>
      </c>
      <c r="I53" s="76">
        <v>97</v>
      </c>
      <c r="J53" s="76">
        <v>71</v>
      </c>
      <c r="K53" s="81">
        <v>55</v>
      </c>
      <c r="L53" s="82">
        <f>AVERAGE(210,153,239,189,206,235,237,230,223,217,170,241)</f>
        <v>212.5</v>
      </c>
      <c r="M53" s="81" t="s">
        <v>1072</v>
      </c>
      <c r="N53" s="76">
        <f>AVERAGE(339,415,381,315,332,314,315)</f>
        <v>344.42857142857144</v>
      </c>
      <c r="O53" s="76" t="s">
        <v>1072</v>
      </c>
      <c r="P53" s="82">
        <f>199*CA.US</f>
        <v>139.29999999999998</v>
      </c>
      <c r="Q53" s="76" t="s">
        <v>1033</v>
      </c>
      <c r="R53" s="81" t="s">
        <v>758</v>
      </c>
      <c r="S53" s="58">
        <v>450</v>
      </c>
      <c r="T53" s="2" t="s">
        <v>1072</v>
      </c>
      <c r="U53" s="41" t="s">
        <v>29</v>
      </c>
      <c r="V53" s="2"/>
      <c r="W53" s="2"/>
    </row>
    <row r="54" spans="1:23" ht="12.6" customHeight="1">
      <c r="A54" s="83" t="s">
        <v>123</v>
      </c>
      <c r="B54" s="60" t="s">
        <v>1040</v>
      </c>
      <c r="C54" s="84">
        <v>90</v>
      </c>
      <c r="D54" s="106">
        <v>2.8</v>
      </c>
      <c r="E54" s="84">
        <f>1.6*C54</f>
        <v>144</v>
      </c>
      <c r="F54" s="85" t="s">
        <v>39</v>
      </c>
      <c r="G54" s="86">
        <v>0.3</v>
      </c>
      <c r="H54" s="87">
        <v>0.55000000000000004</v>
      </c>
      <c r="I54" s="84">
        <v>114.5</v>
      </c>
      <c r="J54" s="84">
        <v>76.400000000000006</v>
      </c>
      <c r="K54" s="88">
        <v>58</v>
      </c>
      <c r="L54" s="89">
        <f>AVERAGE(345,339,347)</f>
        <v>343.66666666666669</v>
      </c>
      <c r="M54" s="88" t="s">
        <v>1072</v>
      </c>
      <c r="N54" s="84">
        <f>AVERAGE(415,440)</f>
        <v>427.5</v>
      </c>
      <c r="O54" s="84" t="s">
        <v>1072</v>
      </c>
      <c r="P54" s="89">
        <v>525</v>
      </c>
      <c r="Q54" s="84" t="s">
        <v>1045</v>
      </c>
      <c r="R54" s="88" t="s">
        <v>33</v>
      </c>
      <c r="S54" s="89">
        <v>750</v>
      </c>
      <c r="T54" s="84" t="s">
        <v>1045</v>
      </c>
      <c r="U54" s="88" t="s">
        <v>32</v>
      </c>
      <c r="V54" s="2"/>
      <c r="W54" s="2"/>
    </row>
    <row r="55" spans="1:23" ht="12.6" customHeight="1">
      <c r="A55" s="75" t="s">
        <v>123</v>
      </c>
      <c r="B55" s="66" t="s">
        <v>223</v>
      </c>
      <c r="C55" s="76">
        <v>180</v>
      </c>
      <c r="D55" s="77">
        <v>2.5</v>
      </c>
      <c r="E55" s="76">
        <f t="shared" si="7"/>
        <v>288</v>
      </c>
      <c r="F55" s="78" t="s">
        <v>124</v>
      </c>
      <c r="G55" s="79">
        <v>1.2</v>
      </c>
      <c r="H55" s="80">
        <v>0.87</v>
      </c>
      <c r="I55" s="76">
        <v>120</v>
      </c>
      <c r="J55" s="76">
        <v>82</v>
      </c>
      <c r="K55" s="81">
        <v>77</v>
      </c>
      <c r="L55" s="76">
        <f>AVERAGE(268,333,433)</f>
        <v>344.66666666666669</v>
      </c>
      <c r="M55" s="81" t="s">
        <v>1072</v>
      </c>
      <c r="N55" s="76">
        <f>AVERAGE(500,377,450,405,419,391,500,582,575)</f>
        <v>466.55555555555554</v>
      </c>
      <c r="O55" s="76" t="s">
        <v>970</v>
      </c>
      <c r="P55" s="82" t="s">
        <v>16</v>
      </c>
      <c r="Q55" s="76" t="s">
        <v>16</v>
      </c>
      <c r="R55" s="81" t="s">
        <v>16</v>
      </c>
      <c r="S55" s="82" t="s">
        <v>16</v>
      </c>
      <c r="T55" s="76" t="s">
        <v>16</v>
      </c>
      <c r="U55" s="81" t="s">
        <v>16</v>
      </c>
      <c r="V55" s="2"/>
      <c r="W55" s="2"/>
    </row>
    <row r="56" spans="1:23" ht="12.6" customHeight="1">
      <c r="A56" s="75" t="s">
        <v>123</v>
      </c>
      <c r="B56" s="66" t="s">
        <v>717</v>
      </c>
      <c r="C56" s="76">
        <v>180</v>
      </c>
      <c r="D56" s="77">
        <v>3.5</v>
      </c>
      <c r="E56" s="76">
        <f t="shared" si="7"/>
        <v>288</v>
      </c>
      <c r="F56" s="78" t="s">
        <v>39</v>
      </c>
      <c r="G56" s="79">
        <v>0.47</v>
      </c>
      <c r="H56" s="80">
        <v>0.92</v>
      </c>
      <c r="I56" s="76">
        <v>165.7</v>
      </c>
      <c r="J56" s="76">
        <v>84.8</v>
      </c>
      <c r="K56" s="81">
        <v>72</v>
      </c>
      <c r="L56" s="82">
        <f>AVERAGE(378,450,400,360,418,478,379,440,455)</f>
        <v>417.55555555555554</v>
      </c>
      <c r="M56" s="81" t="s">
        <v>1072</v>
      </c>
      <c r="N56" s="76">
        <f>AVERAGE(550,540,487,499,558,548,594,500,513)</f>
        <v>532.11111111111109</v>
      </c>
      <c r="O56" s="76" t="s">
        <v>917</v>
      </c>
      <c r="P56" s="82">
        <f>600*CA.US</f>
        <v>420</v>
      </c>
      <c r="Q56" s="76" t="s">
        <v>1045</v>
      </c>
      <c r="R56" s="81" t="s">
        <v>1037</v>
      </c>
      <c r="S56" s="82">
        <v>650</v>
      </c>
      <c r="T56" s="76" t="s">
        <v>878</v>
      </c>
      <c r="U56" s="81" t="s">
        <v>33</v>
      </c>
      <c r="V56" s="2"/>
      <c r="W56" s="2"/>
    </row>
    <row r="57" spans="1:23" ht="12.6" customHeight="1">
      <c r="A57" s="75" t="s">
        <v>123</v>
      </c>
      <c r="B57" s="66" t="s">
        <v>795</v>
      </c>
      <c r="C57" s="76">
        <v>300</v>
      </c>
      <c r="D57" s="77">
        <v>2.8</v>
      </c>
      <c r="E57" s="76">
        <f t="shared" si="7"/>
        <v>480</v>
      </c>
      <c r="F57" s="78" t="s">
        <v>124</v>
      </c>
      <c r="G57" s="79">
        <v>2.5</v>
      </c>
      <c r="H57" s="80">
        <v>2.21</v>
      </c>
      <c r="I57" s="76">
        <v>212</v>
      </c>
      <c r="J57" s="76">
        <v>120</v>
      </c>
      <c r="K57" s="81" t="s">
        <v>271</v>
      </c>
      <c r="L57" s="82">
        <f>AVERAGE(654,720,670,650,710,505,710,668,502,675)</f>
        <v>646.4</v>
      </c>
      <c r="M57" s="81" t="s">
        <v>981</v>
      </c>
      <c r="N57" s="76">
        <f>AVERAGE(1200,994,906,775,713,950,720,760,895)</f>
        <v>879.22222222222217</v>
      </c>
      <c r="O57" s="76" t="s">
        <v>1013</v>
      </c>
      <c r="P57" s="82">
        <v>1250</v>
      </c>
      <c r="Q57" s="76" t="s">
        <v>608</v>
      </c>
      <c r="R57" s="81" t="s">
        <v>33</v>
      </c>
      <c r="S57" s="82">
        <v>1550</v>
      </c>
      <c r="T57" s="76" t="s">
        <v>708</v>
      </c>
      <c r="U57" s="81" t="s">
        <v>35</v>
      </c>
      <c r="V57" s="2"/>
      <c r="W57" s="2"/>
    </row>
    <row r="58" spans="1:23" ht="12.6" customHeight="1">
      <c r="A58" s="75" t="s">
        <v>123</v>
      </c>
      <c r="B58" s="66" t="s">
        <v>796</v>
      </c>
      <c r="C58" s="76">
        <v>300</v>
      </c>
      <c r="D58" s="77">
        <v>2.8</v>
      </c>
      <c r="E58" s="76">
        <f t="shared" si="7"/>
        <v>480</v>
      </c>
      <c r="F58" s="78" t="s">
        <v>124</v>
      </c>
      <c r="G58" s="79">
        <v>2.5</v>
      </c>
      <c r="H58" s="80">
        <v>2.21</v>
      </c>
      <c r="I58" s="76">
        <v>212</v>
      </c>
      <c r="J58" s="76">
        <v>120</v>
      </c>
      <c r="K58" s="81" t="s">
        <v>271</v>
      </c>
      <c r="L58" s="82">
        <f>AVERAGE(499,505,495,561,550,465,526,487,505,473)</f>
        <v>506.6</v>
      </c>
      <c r="M58" s="81" t="s">
        <v>1045</v>
      </c>
      <c r="N58" s="76">
        <f>AVERAGE(635,700,678,670,550,700,500)</f>
        <v>633.28571428571433</v>
      </c>
      <c r="O58" s="76" t="s">
        <v>981</v>
      </c>
      <c r="P58" s="82">
        <v>650</v>
      </c>
      <c r="Q58" s="76" t="s">
        <v>917</v>
      </c>
      <c r="R58" s="81" t="s">
        <v>33</v>
      </c>
      <c r="S58" s="82" t="s">
        <v>16</v>
      </c>
      <c r="T58" s="76" t="s">
        <v>16</v>
      </c>
      <c r="U58" s="81" t="s">
        <v>16</v>
      </c>
      <c r="V58" s="2"/>
      <c r="W58" s="2"/>
    </row>
    <row r="59" spans="1:23" ht="12.6" customHeight="1">
      <c r="A59" s="75" t="s">
        <v>123</v>
      </c>
      <c r="B59" s="66" t="s">
        <v>797</v>
      </c>
      <c r="C59" s="76">
        <v>300</v>
      </c>
      <c r="D59" s="77">
        <v>2.8</v>
      </c>
      <c r="E59" s="76">
        <f t="shared" si="7"/>
        <v>480</v>
      </c>
      <c r="F59" s="78" t="s">
        <v>39</v>
      </c>
      <c r="G59" s="79">
        <v>2.5</v>
      </c>
      <c r="H59" s="80">
        <v>2.8</v>
      </c>
      <c r="I59" s="76">
        <v>216</v>
      </c>
      <c r="J59" s="76">
        <v>119</v>
      </c>
      <c r="K59" s="81" t="s">
        <v>271</v>
      </c>
      <c r="L59" s="76">
        <f>AVERAGE(679)</f>
        <v>679</v>
      </c>
      <c r="M59" s="81" t="s">
        <v>1072</v>
      </c>
      <c r="N59" s="76">
        <f>AVERAGE(1450,1435)</f>
        <v>1442.5</v>
      </c>
      <c r="O59" s="76" t="s">
        <v>739</v>
      </c>
      <c r="P59" s="82">
        <v>995</v>
      </c>
      <c r="Q59" s="76" t="s">
        <v>917</v>
      </c>
      <c r="R59" s="81" t="s">
        <v>583</v>
      </c>
      <c r="S59" s="82">
        <v>1800</v>
      </c>
      <c r="T59" s="76" t="s">
        <v>981</v>
      </c>
      <c r="U59" s="81" t="s">
        <v>32</v>
      </c>
      <c r="V59" s="2"/>
      <c r="W59" s="2"/>
    </row>
    <row r="60" spans="1:23" ht="12.6" customHeight="1">
      <c r="A60" s="75" t="s">
        <v>123</v>
      </c>
      <c r="B60" s="66" t="s">
        <v>469</v>
      </c>
      <c r="C60" s="76">
        <v>300</v>
      </c>
      <c r="D60" s="77">
        <v>5.6</v>
      </c>
      <c r="E60" s="76">
        <f t="shared" si="7"/>
        <v>480</v>
      </c>
      <c r="F60" s="78" t="s">
        <v>124</v>
      </c>
      <c r="G60" s="79">
        <v>1.4</v>
      </c>
      <c r="H60" s="80">
        <v>0.65</v>
      </c>
      <c r="I60" s="76">
        <v>170</v>
      </c>
      <c r="J60" s="76">
        <v>65</v>
      </c>
      <c r="K60" s="81">
        <v>58</v>
      </c>
      <c r="L60" s="82">
        <f>AVERAGE(148,128,103,100,110,100,125,128)</f>
        <v>117.75</v>
      </c>
      <c r="M60" s="81" t="s">
        <v>1010</v>
      </c>
      <c r="N60" s="76">
        <f>AVERAGE(190,227,255,224)</f>
        <v>224</v>
      </c>
      <c r="O60" s="76" t="s">
        <v>739</v>
      </c>
      <c r="P60" s="82">
        <v>145</v>
      </c>
      <c r="Q60" s="76" t="s">
        <v>917</v>
      </c>
      <c r="R60" s="81" t="s">
        <v>35</v>
      </c>
      <c r="S60" s="82" t="s">
        <v>16</v>
      </c>
      <c r="T60" s="76" t="s">
        <v>16</v>
      </c>
      <c r="U60" s="81" t="s">
        <v>16</v>
      </c>
      <c r="V60" s="2"/>
      <c r="W60" s="2"/>
    </row>
    <row r="61" spans="1:23" ht="12.6" customHeight="1">
      <c r="A61" s="75" t="s">
        <v>123</v>
      </c>
      <c r="B61" s="66" t="s">
        <v>574</v>
      </c>
      <c r="C61" s="76">
        <v>350</v>
      </c>
      <c r="D61" s="77">
        <v>5.6</v>
      </c>
      <c r="E61" s="76">
        <f t="shared" si="7"/>
        <v>560</v>
      </c>
      <c r="F61" s="78" t="s">
        <v>124</v>
      </c>
      <c r="G61" s="79">
        <v>1.1000000000000001</v>
      </c>
      <c r="H61" s="80">
        <v>0.62</v>
      </c>
      <c r="I61" s="76">
        <v>74.5</v>
      </c>
      <c r="J61" s="76">
        <v>86</v>
      </c>
      <c r="K61" s="81">
        <v>82</v>
      </c>
      <c r="L61" s="82">
        <f>AVERAGE(500,451,400,441,455,450,450,400,425,560,411,500)</f>
        <v>453.58333333333331</v>
      </c>
      <c r="M61" s="81" t="s">
        <v>1010</v>
      </c>
      <c r="N61" s="76">
        <f>AVERAGE(598,600,620,680,611,618,530,660)</f>
        <v>614.625</v>
      </c>
      <c r="O61" s="76" t="s">
        <v>1013</v>
      </c>
      <c r="P61" s="82">
        <v>430</v>
      </c>
      <c r="Q61" s="76" t="s">
        <v>878</v>
      </c>
      <c r="R61" s="81" t="s">
        <v>30</v>
      </c>
      <c r="S61" s="82" t="s">
        <v>16</v>
      </c>
      <c r="T61" s="76" t="s">
        <v>16</v>
      </c>
      <c r="U61" s="81" t="s">
        <v>16</v>
      </c>
      <c r="V61" s="2"/>
      <c r="W61" s="2"/>
    </row>
    <row r="62" spans="1:23" ht="12.6" customHeight="1">
      <c r="A62" s="83" t="s">
        <v>123</v>
      </c>
      <c r="B62" s="60" t="s">
        <v>508</v>
      </c>
      <c r="C62" s="84">
        <v>400</v>
      </c>
      <c r="D62" s="84">
        <v>4</v>
      </c>
      <c r="E62" s="84">
        <f t="shared" si="7"/>
        <v>640</v>
      </c>
      <c r="F62" s="85" t="s">
        <v>124</v>
      </c>
      <c r="G62" s="86">
        <v>3</v>
      </c>
      <c r="H62" s="87">
        <v>2.2999999999999998</v>
      </c>
      <c r="I62" s="84">
        <v>293</v>
      </c>
      <c r="J62" s="84">
        <v>118</v>
      </c>
      <c r="K62" s="88" t="s">
        <v>271</v>
      </c>
      <c r="L62" s="84">
        <f>AVERAGE(810,760,647,830,785,711,799,829)</f>
        <v>771.375</v>
      </c>
      <c r="M62" s="88" t="s">
        <v>1072</v>
      </c>
      <c r="N62" s="84">
        <f>AVERAGE(900,1012,900,1209,1032,899,1000,900,890,1050)</f>
        <v>979.2</v>
      </c>
      <c r="O62" s="84" t="s">
        <v>863</v>
      </c>
      <c r="P62" s="89" t="s">
        <v>16</v>
      </c>
      <c r="Q62" s="84" t="s">
        <v>16</v>
      </c>
      <c r="R62" s="88" t="s">
        <v>16</v>
      </c>
      <c r="S62" s="89" t="s">
        <v>16</v>
      </c>
      <c r="T62" s="84" t="s">
        <v>16</v>
      </c>
      <c r="U62" s="88" t="s">
        <v>16</v>
      </c>
      <c r="V62" s="2"/>
      <c r="W62" s="2"/>
    </row>
    <row r="63" spans="1:23" ht="12.6" customHeight="1">
      <c r="A63" s="75" t="s">
        <v>123</v>
      </c>
      <c r="B63" s="66" t="s">
        <v>962</v>
      </c>
      <c r="C63" s="76" t="s">
        <v>961</v>
      </c>
      <c r="D63" s="77">
        <v>2.8</v>
      </c>
      <c r="E63" s="76" t="s">
        <v>531</v>
      </c>
      <c r="F63" s="78" t="s">
        <v>39</v>
      </c>
      <c r="G63" s="79">
        <v>0.28000000000000003</v>
      </c>
      <c r="H63" s="80">
        <v>1.1000000000000001</v>
      </c>
      <c r="I63" s="76">
        <v>145</v>
      </c>
      <c r="J63" s="76">
        <v>98.4</v>
      </c>
      <c r="K63" s="81" t="s">
        <v>31</v>
      </c>
      <c r="L63" s="76">
        <f>AVERAGE(788)</f>
        <v>788</v>
      </c>
      <c r="M63" s="81" t="s">
        <v>1033</v>
      </c>
      <c r="N63" s="111">
        <f>AVERAGE(879,838,829,845.88)</f>
        <v>847.97</v>
      </c>
      <c r="O63" s="76" t="s">
        <v>1072</v>
      </c>
      <c r="P63" s="82" t="s">
        <v>16</v>
      </c>
      <c r="Q63" s="76" t="s">
        <v>16</v>
      </c>
      <c r="R63" s="81" t="s">
        <v>16</v>
      </c>
      <c r="S63" s="90">
        <v>1200</v>
      </c>
      <c r="T63" s="76" t="s">
        <v>1045</v>
      </c>
      <c r="U63" s="81" t="s">
        <v>32</v>
      </c>
      <c r="V63" s="2"/>
      <c r="W63" s="2"/>
    </row>
    <row r="64" spans="1:23" ht="12.6" customHeight="1">
      <c r="A64" s="75" t="s">
        <v>123</v>
      </c>
      <c r="B64" s="66" t="s">
        <v>325</v>
      </c>
      <c r="C64" s="91" t="s">
        <v>108</v>
      </c>
      <c r="D64" s="77" t="s">
        <v>125</v>
      </c>
      <c r="E64" s="91" t="s">
        <v>109</v>
      </c>
      <c r="F64" s="78" t="s">
        <v>39</v>
      </c>
      <c r="G64" s="79">
        <v>0.5</v>
      </c>
      <c r="H64" s="80">
        <v>0.53</v>
      </c>
      <c r="I64" s="76">
        <v>81</v>
      </c>
      <c r="J64" s="76">
        <v>82</v>
      </c>
      <c r="K64" s="81">
        <v>77</v>
      </c>
      <c r="L64" s="82">
        <f>AVERAGE(120,120,113)</f>
        <v>117.66666666666667</v>
      </c>
      <c r="M64" s="81" t="s">
        <v>1045</v>
      </c>
      <c r="N64" s="76">
        <f>AVERAGE(160)</f>
        <v>160</v>
      </c>
      <c r="O64" s="81" t="s">
        <v>884</v>
      </c>
      <c r="P64" s="92">
        <v>182</v>
      </c>
      <c r="Q64" s="76" t="s">
        <v>1072</v>
      </c>
      <c r="R64" s="93" t="s">
        <v>30</v>
      </c>
      <c r="S64" s="92" t="s">
        <v>16</v>
      </c>
      <c r="T64" s="76" t="s">
        <v>16</v>
      </c>
      <c r="U64" s="93" t="s">
        <v>16</v>
      </c>
      <c r="V64" s="2"/>
      <c r="W64" s="2"/>
    </row>
    <row r="65" spans="1:23" ht="12.6" customHeight="1">
      <c r="A65" s="75" t="s">
        <v>123</v>
      </c>
      <c r="B65" s="66" t="s">
        <v>534</v>
      </c>
      <c r="C65" s="91" t="s">
        <v>531</v>
      </c>
      <c r="D65" s="77" t="s">
        <v>533</v>
      </c>
      <c r="E65" s="91" t="s">
        <v>532</v>
      </c>
      <c r="F65" s="78" t="s">
        <v>124</v>
      </c>
      <c r="G65" s="79">
        <v>0.6</v>
      </c>
      <c r="H65" s="80">
        <v>0.34599999999999997</v>
      </c>
      <c r="I65" s="76">
        <v>61</v>
      </c>
      <c r="J65" s="76">
        <v>65.5</v>
      </c>
      <c r="K65" s="81" t="s">
        <v>535</v>
      </c>
      <c r="L65" s="82">
        <f>AVERAGE(133)</f>
        <v>133</v>
      </c>
      <c r="M65" s="81" t="s">
        <v>878</v>
      </c>
      <c r="N65" s="76">
        <f>AVERAGE(438,430)</f>
        <v>434</v>
      </c>
      <c r="O65" s="81" t="s">
        <v>552</v>
      </c>
      <c r="P65" s="92" t="s">
        <v>16</v>
      </c>
      <c r="Q65" s="76" t="s">
        <v>16</v>
      </c>
      <c r="R65" s="93" t="s">
        <v>16</v>
      </c>
      <c r="S65" s="92" t="s">
        <v>16</v>
      </c>
      <c r="T65" s="76" t="s">
        <v>16</v>
      </c>
      <c r="U65" s="93" t="s">
        <v>16</v>
      </c>
      <c r="V65" s="2"/>
      <c r="W65" s="2"/>
    </row>
    <row r="66" spans="1:23" ht="12.6" customHeight="1">
      <c r="A66" s="75" t="s">
        <v>123</v>
      </c>
      <c r="B66" s="66" t="s">
        <v>609</v>
      </c>
      <c r="C66" s="91" t="s">
        <v>60</v>
      </c>
      <c r="D66" s="77">
        <v>2.8</v>
      </c>
      <c r="E66" s="80" t="s">
        <v>110</v>
      </c>
      <c r="F66" s="78" t="s">
        <v>39</v>
      </c>
      <c r="G66" s="79">
        <v>0.38</v>
      </c>
      <c r="H66" s="80">
        <v>0.82499999999999996</v>
      </c>
      <c r="I66" s="76">
        <v>108.5</v>
      </c>
      <c r="J66" s="76">
        <v>88.2</v>
      </c>
      <c r="K66" s="81">
        <v>82</v>
      </c>
      <c r="L66" s="76">
        <f>AVERAGE(545,635,697,785,705,650)</f>
        <v>669.5</v>
      </c>
      <c r="M66" s="81" t="s">
        <v>1072</v>
      </c>
      <c r="N66" s="76">
        <f>AVERAGE(789,900,950,917,925,895,871,885,903)</f>
        <v>892.77777777777783</v>
      </c>
      <c r="O66" s="81" t="s">
        <v>1072</v>
      </c>
      <c r="P66" s="82">
        <f>970*CA.US</f>
        <v>679</v>
      </c>
      <c r="Q66" s="76" t="s">
        <v>1072</v>
      </c>
      <c r="R66" s="93" t="s">
        <v>418</v>
      </c>
      <c r="S66" s="92">
        <v>880</v>
      </c>
      <c r="T66" s="76" t="s">
        <v>1072</v>
      </c>
      <c r="U66" s="93" t="s">
        <v>30</v>
      </c>
      <c r="V66" s="2"/>
      <c r="W66" s="2"/>
    </row>
    <row r="67" spans="1:23" ht="12.6" customHeight="1">
      <c r="A67" s="75" t="s">
        <v>123</v>
      </c>
      <c r="B67" s="66" t="s">
        <v>517</v>
      </c>
      <c r="C67" s="91" t="s">
        <v>387</v>
      </c>
      <c r="D67" s="77" t="s">
        <v>81</v>
      </c>
      <c r="E67" s="91" t="s">
        <v>529</v>
      </c>
      <c r="F67" s="78" t="s">
        <v>39</v>
      </c>
      <c r="G67" s="79">
        <v>0.4</v>
      </c>
      <c r="H67" s="80">
        <v>0.53</v>
      </c>
      <c r="I67" s="76">
        <v>79</v>
      </c>
      <c r="J67" s="76">
        <v>81</v>
      </c>
      <c r="K67" s="81">
        <v>72</v>
      </c>
      <c r="L67" s="76">
        <f>AVERAGE(142,130,121,149,135,178,129)</f>
        <v>140.57142857142858</v>
      </c>
      <c r="M67" s="81" t="s">
        <v>870</v>
      </c>
      <c r="N67" s="76">
        <f>AVERAGE(175,205,202,250,189,223,250,202)</f>
        <v>212</v>
      </c>
      <c r="O67" s="81" t="s">
        <v>973</v>
      </c>
      <c r="P67" s="92">
        <v>175</v>
      </c>
      <c r="Q67" s="76" t="s">
        <v>981</v>
      </c>
      <c r="R67" s="93" t="s">
        <v>30</v>
      </c>
      <c r="S67" s="92" t="s">
        <v>16</v>
      </c>
      <c r="T67" s="76" t="s">
        <v>16</v>
      </c>
      <c r="U67" s="93" t="s">
        <v>16</v>
      </c>
      <c r="V67" s="2"/>
      <c r="W67" s="2"/>
    </row>
    <row r="68" spans="1:23" ht="12.6" customHeight="1">
      <c r="A68" s="75" t="s">
        <v>123</v>
      </c>
      <c r="B68" s="66" t="s">
        <v>326</v>
      </c>
      <c r="C68" s="91" t="s">
        <v>126</v>
      </c>
      <c r="D68" s="77">
        <v>2.8</v>
      </c>
      <c r="E68" s="91" t="s">
        <v>550</v>
      </c>
      <c r="F68" s="78" t="s">
        <v>39</v>
      </c>
      <c r="G68" s="79">
        <v>0.33</v>
      </c>
      <c r="H68" s="80">
        <v>0.51</v>
      </c>
      <c r="I68" s="76">
        <v>92</v>
      </c>
      <c r="J68" s="76">
        <v>73</v>
      </c>
      <c r="K68" s="81">
        <v>67</v>
      </c>
      <c r="L68" s="82">
        <f>AVERAGE(154,193,200,219,214,205,240,249,225)</f>
        <v>211</v>
      </c>
      <c r="M68" s="81" t="s">
        <v>1072</v>
      </c>
      <c r="N68" s="76">
        <f>AVERAGE(285,313,325,310,345,333,346,331)</f>
        <v>323.5</v>
      </c>
      <c r="O68" s="76" t="s">
        <v>1045</v>
      </c>
      <c r="P68" s="82">
        <v>330</v>
      </c>
      <c r="Q68" s="76" t="s">
        <v>1072</v>
      </c>
      <c r="R68" s="81" t="s">
        <v>33</v>
      </c>
      <c r="S68" s="82" t="s">
        <v>16</v>
      </c>
      <c r="T68" s="76" t="s">
        <v>16</v>
      </c>
      <c r="U68" s="81" t="s">
        <v>16</v>
      </c>
      <c r="V68" s="2"/>
      <c r="W68" s="2"/>
    </row>
    <row r="69" spans="1:23" ht="12.6" customHeight="1">
      <c r="A69" s="75" t="s">
        <v>123</v>
      </c>
      <c r="B69" s="66" t="s">
        <v>527</v>
      </c>
      <c r="C69" s="91" t="s">
        <v>127</v>
      </c>
      <c r="D69" s="77">
        <v>2.8</v>
      </c>
      <c r="E69" s="91" t="s">
        <v>551</v>
      </c>
      <c r="F69" s="94" t="s">
        <v>39</v>
      </c>
      <c r="G69" s="25">
        <v>0.44</v>
      </c>
      <c r="H69" s="26">
        <v>0.84499999999999997</v>
      </c>
      <c r="I69" s="11">
        <v>104.5</v>
      </c>
      <c r="J69" s="11">
        <v>87</v>
      </c>
      <c r="K69" s="81">
        <v>82</v>
      </c>
      <c r="L69" s="82">
        <f>AVERAGE(195,170,150,183,170,205,259,206)</f>
        <v>192.25</v>
      </c>
      <c r="M69" s="81" t="s">
        <v>1033</v>
      </c>
      <c r="N69" s="95">
        <f>AVERAGE(255,365,329,333)</f>
        <v>320.5</v>
      </c>
      <c r="O69" s="76" t="s">
        <v>1027</v>
      </c>
      <c r="P69" s="82">
        <v>390</v>
      </c>
      <c r="Q69" s="76" t="s">
        <v>981</v>
      </c>
      <c r="R69" s="81" t="s">
        <v>32</v>
      </c>
      <c r="S69" s="82">
        <v>425</v>
      </c>
      <c r="T69" s="76" t="s">
        <v>981</v>
      </c>
      <c r="U69" s="81" t="s">
        <v>32</v>
      </c>
      <c r="V69" s="2"/>
      <c r="W69" s="2"/>
    </row>
    <row r="70" spans="1:23" ht="12.6" customHeight="1">
      <c r="A70" s="75" t="s">
        <v>123</v>
      </c>
      <c r="B70" s="66" t="s">
        <v>883</v>
      </c>
      <c r="C70" s="91" t="s">
        <v>881</v>
      </c>
      <c r="D70" s="77">
        <v>2.8</v>
      </c>
      <c r="E70" s="91" t="s">
        <v>882</v>
      </c>
      <c r="F70" s="94" t="s">
        <v>39</v>
      </c>
      <c r="G70" s="25">
        <v>0.49</v>
      </c>
      <c r="H70" s="26">
        <v>0.35399999999999998</v>
      </c>
      <c r="I70" s="11">
        <v>75.2</v>
      </c>
      <c r="J70" s="11">
        <v>71</v>
      </c>
      <c r="K70" s="11">
        <v>62</v>
      </c>
      <c r="L70" s="82">
        <f>AVERAGE(120,125)</f>
        <v>122.5</v>
      </c>
      <c r="M70" s="81" t="s">
        <v>917</v>
      </c>
      <c r="N70" s="76">
        <f>AVERAGE(140,140)</f>
        <v>140</v>
      </c>
      <c r="O70" s="76" t="s">
        <v>917</v>
      </c>
      <c r="P70" s="82">
        <v>80</v>
      </c>
      <c r="Q70" s="76" t="s">
        <v>890</v>
      </c>
      <c r="R70" s="81" t="s">
        <v>30</v>
      </c>
      <c r="S70" s="82" t="s">
        <v>16</v>
      </c>
      <c r="T70" s="76" t="s">
        <v>16</v>
      </c>
      <c r="U70" s="81" t="s">
        <v>16</v>
      </c>
      <c r="V70" s="2"/>
      <c r="W70" s="2"/>
    </row>
    <row r="71" spans="1:23" ht="12.6" customHeight="1">
      <c r="A71" s="75" t="s">
        <v>123</v>
      </c>
      <c r="B71" s="66" t="s">
        <v>523</v>
      </c>
      <c r="C71" s="91" t="s">
        <v>521</v>
      </c>
      <c r="D71" s="77" t="s">
        <v>522</v>
      </c>
      <c r="E71" s="91" t="s">
        <v>530</v>
      </c>
      <c r="F71" s="94" t="s">
        <v>124</v>
      </c>
      <c r="G71" s="25">
        <v>0.27</v>
      </c>
      <c r="H71" s="26">
        <v>0.46</v>
      </c>
      <c r="I71" s="11">
        <v>78.5</v>
      </c>
      <c r="J71" s="12">
        <v>65</v>
      </c>
      <c r="K71" s="11">
        <v>62</v>
      </c>
      <c r="L71" s="82">
        <f>AVERAGE(81,37,43,70,65,50,47)</f>
        <v>56.142857142857146</v>
      </c>
      <c r="M71" s="81" t="s">
        <v>737</v>
      </c>
      <c r="N71" s="76">
        <f>AVERAGE(130,115,150,105,109,164,109)</f>
        <v>126</v>
      </c>
      <c r="O71" s="76" t="s">
        <v>1072</v>
      </c>
      <c r="P71" s="82">
        <v>70</v>
      </c>
      <c r="Q71" s="76" t="s">
        <v>1072</v>
      </c>
      <c r="R71" s="81" t="s">
        <v>32</v>
      </c>
      <c r="S71" s="82" t="s">
        <v>16</v>
      </c>
      <c r="T71" s="76" t="s">
        <v>16</v>
      </c>
      <c r="U71" s="81" t="s">
        <v>16</v>
      </c>
      <c r="V71" s="2"/>
      <c r="W71" s="2"/>
    </row>
    <row r="72" spans="1:23" ht="12.6" customHeight="1">
      <c r="A72" s="75" t="s">
        <v>123</v>
      </c>
      <c r="B72" s="66" t="s">
        <v>555</v>
      </c>
      <c r="C72" s="91" t="s">
        <v>554</v>
      </c>
      <c r="D72" s="77">
        <v>2.8</v>
      </c>
      <c r="E72" s="91" t="s">
        <v>611</v>
      </c>
      <c r="F72" s="94" t="s">
        <v>124</v>
      </c>
      <c r="G72" s="25">
        <v>0.98</v>
      </c>
      <c r="H72" s="26">
        <v>0.76</v>
      </c>
      <c r="I72" s="11">
        <v>147</v>
      </c>
      <c r="J72" s="12">
        <v>67.5</v>
      </c>
      <c r="K72" s="11">
        <v>62</v>
      </c>
      <c r="L72" s="82">
        <f>AVERAGE(451,478)</f>
        <v>464.5</v>
      </c>
      <c r="M72" s="81" t="s">
        <v>970</v>
      </c>
      <c r="N72" s="76">
        <f>AVERAGE(635,523,625)</f>
        <v>594.33333333333337</v>
      </c>
      <c r="O72" s="76" t="s">
        <v>1072</v>
      </c>
      <c r="P72" s="82" t="s">
        <v>16</v>
      </c>
      <c r="Q72" s="76" t="s">
        <v>16</v>
      </c>
      <c r="R72" s="81" t="s">
        <v>16</v>
      </c>
      <c r="S72" s="82" t="s">
        <v>16</v>
      </c>
      <c r="T72" s="76" t="s">
        <v>16</v>
      </c>
      <c r="U72" s="81" t="s">
        <v>16</v>
      </c>
      <c r="V72" s="2"/>
      <c r="W72" s="2"/>
    </row>
    <row r="73" spans="1:23" ht="12.6" customHeight="1">
      <c r="A73" s="75" t="s">
        <v>123</v>
      </c>
      <c r="B73" s="66" t="s">
        <v>770</v>
      </c>
      <c r="C73" s="91" t="s">
        <v>72</v>
      </c>
      <c r="D73" s="77">
        <v>2.8</v>
      </c>
      <c r="E73" s="91" t="s">
        <v>117</v>
      </c>
      <c r="F73" s="78" t="s">
        <v>39</v>
      </c>
      <c r="G73" s="79">
        <v>0.95</v>
      </c>
      <c r="H73" s="80">
        <v>1.1499999999999999</v>
      </c>
      <c r="I73" s="76">
        <v>194</v>
      </c>
      <c r="J73" s="76">
        <v>90</v>
      </c>
      <c r="K73" s="81">
        <v>77</v>
      </c>
      <c r="L73" s="76">
        <f>AVERAGE(450,499,415,411,474,493,525,440,415)</f>
        <v>458</v>
      </c>
      <c r="M73" s="81" t="s">
        <v>1045</v>
      </c>
      <c r="N73" s="76">
        <f>AVERAGE(473,550,555,580,540,520,570,625)</f>
        <v>551.625</v>
      </c>
      <c r="O73" s="81" t="s">
        <v>1045</v>
      </c>
      <c r="P73" s="82">
        <v>540</v>
      </c>
      <c r="Q73" s="76" t="s">
        <v>1072</v>
      </c>
      <c r="R73" s="81" t="s">
        <v>33</v>
      </c>
      <c r="S73" s="82">
        <v>710</v>
      </c>
      <c r="T73" s="76" t="s">
        <v>739</v>
      </c>
      <c r="U73" s="81" t="s">
        <v>33</v>
      </c>
      <c r="V73" s="2"/>
      <c r="W73" s="2"/>
    </row>
    <row r="74" spans="1:23" ht="12.6" customHeight="1">
      <c r="A74" s="75" t="s">
        <v>123</v>
      </c>
      <c r="B74" s="66" t="s">
        <v>771</v>
      </c>
      <c r="C74" s="91" t="s">
        <v>72</v>
      </c>
      <c r="D74" s="77">
        <v>2.8</v>
      </c>
      <c r="E74" s="91" t="s">
        <v>117</v>
      </c>
      <c r="F74" s="78" t="s">
        <v>39</v>
      </c>
      <c r="G74" s="79">
        <v>1.3</v>
      </c>
      <c r="H74" s="80">
        <v>1.47</v>
      </c>
      <c r="I74" s="76">
        <v>196.7</v>
      </c>
      <c r="J74" s="76">
        <v>85.8</v>
      </c>
      <c r="K74" s="81">
        <v>77</v>
      </c>
      <c r="L74" s="76">
        <f>AVERAGE(930,870,830,825,900,900,855)</f>
        <v>872.85714285714289</v>
      </c>
      <c r="M74" s="81" t="s">
        <v>1013</v>
      </c>
      <c r="N74" s="76">
        <f>AVERAGE(1100,1022,980,993,1119,1119,1119)</f>
        <v>1064.5714285714287</v>
      </c>
      <c r="O74" s="81" t="s">
        <v>981</v>
      </c>
      <c r="P74" s="82">
        <v>960</v>
      </c>
      <c r="Q74" s="76" t="s">
        <v>1072</v>
      </c>
      <c r="R74" s="81" t="s">
        <v>30</v>
      </c>
      <c r="S74" s="82">
        <v>1220</v>
      </c>
      <c r="T74" s="76" t="s">
        <v>1072</v>
      </c>
      <c r="U74" s="81" t="s">
        <v>30</v>
      </c>
      <c r="V74" s="2"/>
      <c r="W74" s="2"/>
    </row>
    <row r="75" spans="1:23" ht="12.6" customHeight="1">
      <c r="A75" s="75" t="s">
        <v>123</v>
      </c>
      <c r="B75" s="66" t="s">
        <v>528</v>
      </c>
      <c r="C75" s="91" t="s">
        <v>100</v>
      </c>
      <c r="D75" s="77" t="s">
        <v>101</v>
      </c>
      <c r="E75" s="91" t="s">
        <v>610</v>
      </c>
      <c r="F75" s="78" t="s">
        <v>39</v>
      </c>
      <c r="G75" s="79">
        <v>1.4</v>
      </c>
      <c r="H75" s="80">
        <v>0.76500000000000001</v>
      </c>
      <c r="I75" s="76">
        <v>142.69999999999999</v>
      </c>
      <c r="J75" s="76">
        <v>81.5</v>
      </c>
      <c r="K75" s="81">
        <v>62</v>
      </c>
      <c r="L75" s="76">
        <f>AVERAGE(196,193,244,255,260,207,245,243)</f>
        <v>230.375</v>
      </c>
      <c r="M75" s="81" t="s">
        <v>1072</v>
      </c>
      <c r="N75" s="76">
        <f>AVERAGE(240,305,285,294,269,300,329,325,315,325)</f>
        <v>298.7</v>
      </c>
      <c r="O75" s="76" t="s">
        <v>1010</v>
      </c>
      <c r="P75" s="82">
        <v>270</v>
      </c>
      <c r="Q75" s="76" t="s">
        <v>1072</v>
      </c>
      <c r="R75" s="81" t="s">
        <v>30</v>
      </c>
      <c r="S75" s="82">
        <f>300*CA.US</f>
        <v>210</v>
      </c>
      <c r="T75" s="76" t="s">
        <v>1045</v>
      </c>
      <c r="U75" s="81" t="s">
        <v>418</v>
      </c>
      <c r="V75" s="2"/>
      <c r="W75" s="2"/>
    </row>
    <row r="76" spans="1:23" ht="12.6" customHeight="1">
      <c r="A76" s="75" t="s">
        <v>123</v>
      </c>
      <c r="B76" s="66" t="s">
        <v>524</v>
      </c>
      <c r="C76" s="91" t="s">
        <v>76</v>
      </c>
      <c r="D76" s="77">
        <v>2.8</v>
      </c>
      <c r="E76" s="91" t="s">
        <v>77</v>
      </c>
      <c r="F76" s="78" t="s">
        <v>124</v>
      </c>
      <c r="G76" s="79">
        <v>1.5</v>
      </c>
      <c r="H76" s="80">
        <v>1.22</v>
      </c>
      <c r="I76" s="76">
        <v>178</v>
      </c>
      <c r="J76" s="76">
        <v>82</v>
      </c>
      <c r="K76" s="81">
        <v>77</v>
      </c>
      <c r="L76" s="82">
        <f>AVERAGE(174,243,170)</f>
        <v>195.66666666666666</v>
      </c>
      <c r="M76" s="81" t="s">
        <v>878</v>
      </c>
      <c r="N76" s="76">
        <f>AVERAGE(292,292,338,385,413,385)</f>
        <v>350.83333333333331</v>
      </c>
      <c r="O76" s="81" t="s">
        <v>917</v>
      </c>
      <c r="P76" s="92">
        <v>395</v>
      </c>
      <c r="Q76" s="76" t="s">
        <v>608</v>
      </c>
      <c r="R76" s="93" t="s">
        <v>35</v>
      </c>
      <c r="S76" s="92">
        <v>430</v>
      </c>
      <c r="T76" s="76" t="s">
        <v>608</v>
      </c>
      <c r="U76" s="93" t="s">
        <v>30</v>
      </c>
      <c r="V76" s="2"/>
      <c r="W76" s="2"/>
    </row>
    <row r="77" spans="1:23" ht="12.6" customHeight="1">
      <c r="A77" s="75" t="s">
        <v>123</v>
      </c>
      <c r="B77" s="66" t="s">
        <v>837</v>
      </c>
      <c r="C77" s="91" t="s">
        <v>838</v>
      </c>
      <c r="D77" s="77" t="s">
        <v>713</v>
      </c>
      <c r="E77" s="91" t="s">
        <v>839</v>
      </c>
      <c r="F77" s="78" t="s">
        <v>39</v>
      </c>
      <c r="G77" s="79">
        <v>2.7</v>
      </c>
      <c r="H77" s="80">
        <v>1.9510000000000001</v>
      </c>
      <c r="I77" s="76">
        <v>257.8</v>
      </c>
      <c r="J77" s="76">
        <v>105.6</v>
      </c>
      <c r="K77" s="81">
        <v>95</v>
      </c>
      <c r="L77" s="76">
        <f>AVERAGE(700,699,646,698,646,750,752,712)</f>
        <v>700.375</v>
      </c>
      <c r="M77" s="81" t="s">
        <v>1072</v>
      </c>
      <c r="N77" s="76">
        <f>AVERAGE(770,750,750,860,799)</f>
        <v>785.8</v>
      </c>
      <c r="O77" s="76" t="s">
        <v>1072</v>
      </c>
      <c r="P77" s="92">
        <v>750</v>
      </c>
      <c r="Q77" s="76" t="s">
        <v>1072</v>
      </c>
      <c r="R77" s="93" t="s">
        <v>33</v>
      </c>
      <c r="S77" s="92">
        <v>850</v>
      </c>
      <c r="T77" s="76" t="s">
        <v>1045</v>
      </c>
      <c r="U77" s="93" t="s">
        <v>33</v>
      </c>
      <c r="V77" s="2"/>
      <c r="W77" s="2"/>
    </row>
    <row r="78" spans="1:23" ht="12.6" customHeight="1">
      <c r="A78" s="75" t="s">
        <v>123</v>
      </c>
      <c r="B78" s="66" t="s">
        <v>525</v>
      </c>
      <c r="C78" s="91" t="s">
        <v>129</v>
      </c>
      <c r="D78" s="77">
        <v>5.6</v>
      </c>
      <c r="E78" s="91" t="s">
        <v>612</v>
      </c>
      <c r="F78" s="78" t="s">
        <v>39</v>
      </c>
      <c r="G78" s="79">
        <v>2.5</v>
      </c>
      <c r="H78" s="80">
        <v>1.26</v>
      </c>
      <c r="I78" s="76">
        <v>178</v>
      </c>
      <c r="J78" s="76">
        <v>85.4</v>
      </c>
      <c r="K78" s="81">
        <v>77</v>
      </c>
      <c r="L78" s="82">
        <f>AVERAGE(205,230,215,220,203,223,257,231,198,213,199)</f>
        <v>217.63636363636363</v>
      </c>
      <c r="M78" s="93" t="s">
        <v>981</v>
      </c>
      <c r="N78" s="76">
        <f>AVERAGE(265,299,300,325,281,243,249,265,330,287,278,306,300)</f>
        <v>286.76923076923077</v>
      </c>
      <c r="O78" s="91" t="s">
        <v>927</v>
      </c>
      <c r="P78" s="82">
        <v>220</v>
      </c>
      <c r="Q78" s="91" t="s">
        <v>981</v>
      </c>
      <c r="R78" s="81" t="s">
        <v>30</v>
      </c>
      <c r="S78" s="82">
        <v>350</v>
      </c>
      <c r="T78" s="91" t="s">
        <v>389</v>
      </c>
      <c r="U78" s="81" t="s">
        <v>35</v>
      </c>
      <c r="V78" s="2"/>
      <c r="W78" s="2"/>
    </row>
    <row r="79" spans="1:23" ht="12.6" customHeight="1">
      <c r="A79" s="75" t="s">
        <v>123</v>
      </c>
      <c r="B79" s="66" t="s">
        <v>689</v>
      </c>
      <c r="C79" s="91" t="s">
        <v>130</v>
      </c>
      <c r="D79" s="77">
        <v>5.6</v>
      </c>
      <c r="E79" s="91" t="s">
        <v>337</v>
      </c>
      <c r="F79" s="78" t="s">
        <v>124</v>
      </c>
      <c r="G79" s="79">
        <v>2.5</v>
      </c>
      <c r="H79" s="80">
        <v>2.74</v>
      </c>
      <c r="I79" s="76">
        <v>360.5</v>
      </c>
      <c r="J79" s="76">
        <v>105</v>
      </c>
      <c r="K79" s="81">
        <v>95</v>
      </c>
      <c r="L79" s="76">
        <f>AVERAGE(389,442,225,390,355,433)</f>
        <v>372.33333333333331</v>
      </c>
      <c r="M79" s="93" t="s">
        <v>973</v>
      </c>
      <c r="N79" s="76">
        <f>AVERAGE(503,436)</f>
        <v>469.5</v>
      </c>
      <c r="O79" s="91" t="s">
        <v>952</v>
      </c>
      <c r="P79" s="82">
        <v>175</v>
      </c>
      <c r="Q79" s="91" t="s">
        <v>1072</v>
      </c>
      <c r="R79" s="81" t="s">
        <v>30</v>
      </c>
      <c r="S79" s="82" t="s">
        <v>16</v>
      </c>
      <c r="T79" s="91" t="s">
        <v>16</v>
      </c>
      <c r="U79" s="81" t="s">
        <v>16</v>
      </c>
      <c r="V79" s="2"/>
      <c r="W79" s="2"/>
    </row>
    <row r="80" spans="1:23" ht="12.6" customHeight="1">
      <c r="A80" s="83" t="s">
        <v>123</v>
      </c>
      <c r="B80" s="60" t="s">
        <v>526</v>
      </c>
      <c r="C80" s="84" t="s">
        <v>130</v>
      </c>
      <c r="D80" s="84" t="s">
        <v>497</v>
      </c>
      <c r="E80" s="84" t="s">
        <v>337</v>
      </c>
      <c r="F80" s="85" t="s">
        <v>39</v>
      </c>
      <c r="G80" s="86">
        <v>2.5</v>
      </c>
      <c r="H80" s="87">
        <v>1.2370000000000001</v>
      </c>
      <c r="I80" s="84">
        <v>227</v>
      </c>
      <c r="J80" s="84">
        <v>93.5</v>
      </c>
      <c r="K80" s="88">
        <v>86</v>
      </c>
      <c r="L80" s="84">
        <f>AVERAGE(287,350,339,480,385,494,380,440)</f>
        <v>394.375</v>
      </c>
      <c r="M80" s="88" t="s">
        <v>1072</v>
      </c>
      <c r="N80" s="84">
        <f>AVERAGE(710,850,570,550,725,650,610,700,699,680,699)</f>
        <v>676.63636363636363</v>
      </c>
      <c r="O80" s="84" t="s">
        <v>1013</v>
      </c>
      <c r="P80" s="89">
        <v>400</v>
      </c>
      <c r="Q80" s="84" t="s">
        <v>1072</v>
      </c>
      <c r="R80" s="88" t="s">
        <v>33</v>
      </c>
      <c r="S80" s="89">
        <v>730</v>
      </c>
      <c r="T80" s="84" t="s">
        <v>981</v>
      </c>
      <c r="U80" s="88" t="s">
        <v>906</v>
      </c>
      <c r="V80" s="2"/>
      <c r="W80" s="2"/>
    </row>
    <row r="81" spans="1:23" ht="12.6" customHeight="1">
      <c r="C81" s="12" t="s">
        <v>16</v>
      </c>
      <c r="D81" s="25" t="s">
        <v>16</v>
      </c>
      <c r="E81" s="12" t="s">
        <v>16</v>
      </c>
      <c r="F81" s="12" t="s">
        <v>16</v>
      </c>
      <c r="G81" s="25" t="s">
        <v>16</v>
      </c>
      <c r="H81" s="26" t="s">
        <v>16</v>
      </c>
      <c r="I81" s="11" t="s">
        <v>16</v>
      </c>
      <c r="J81" s="11" t="s">
        <v>16</v>
      </c>
      <c r="K81" s="11" t="s">
        <v>16</v>
      </c>
      <c r="L81" s="11" t="s">
        <v>16</v>
      </c>
      <c r="M81" s="11" t="s">
        <v>16</v>
      </c>
      <c r="N81" s="11" t="s">
        <v>16</v>
      </c>
      <c r="O81" s="11" t="s">
        <v>16</v>
      </c>
      <c r="P81" s="11" t="s">
        <v>16</v>
      </c>
      <c r="Q81" s="11" t="s">
        <v>16</v>
      </c>
      <c r="R81" s="11" t="s">
        <v>16</v>
      </c>
      <c r="S81" s="11" t="s">
        <v>16</v>
      </c>
      <c r="T81" s="11" t="s">
        <v>16</v>
      </c>
      <c r="U81" s="11" t="s">
        <v>16</v>
      </c>
    </row>
    <row r="82" spans="1:23" ht="12.6" customHeight="1">
      <c r="A82" s="55" t="s">
        <v>428</v>
      </c>
      <c r="C82" s="12" t="s">
        <v>16</v>
      </c>
      <c r="D82" s="25" t="s">
        <v>16</v>
      </c>
      <c r="E82" s="12" t="s">
        <v>16</v>
      </c>
      <c r="F82" s="12" t="s">
        <v>16</v>
      </c>
      <c r="G82" s="25" t="s">
        <v>16</v>
      </c>
      <c r="H82" s="26" t="s">
        <v>16</v>
      </c>
      <c r="I82" s="11" t="s">
        <v>16</v>
      </c>
      <c r="J82" s="11" t="s">
        <v>16</v>
      </c>
      <c r="K82" s="11" t="s">
        <v>16</v>
      </c>
      <c r="L82" s="11" t="s">
        <v>16</v>
      </c>
      <c r="M82" s="11" t="s">
        <v>16</v>
      </c>
      <c r="N82" s="11" t="s">
        <v>16</v>
      </c>
      <c r="O82" s="11" t="s">
        <v>16</v>
      </c>
      <c r="P82" s="11" t="s">
        <v>16</v>
      </c>
      <c r="Q82" s="11" t="s">
        <v>16</v>
      </c>
      <c r="R82" s="11" t="s">
        <v>16</v>
      </c>
      <c r="S82" s="11" t="s">
        <v>16</v>
      </c>
      <c r="T82" s="11" t="s">
        <v>16</v>
      </c>
      <c r="U82" s="11" t="s">
        <v>16</v>
      </c>
    </row>
    <row r="83" spans="1:23" ht="12.6" customHeight="1">
      <c r="C83" s="12" t="s">
        <v>16</v>
      </c>
      <c r="D83" s="25" t="s">
        <v>16</v>
      </c>
      <c r="E83" s="12" t="s">
        <v>16</v>
      </c>
      <c r="F83" s="12" t="s">
        <v>16</v>
      </c>
      <c r="G83" s="25" t="s">
        <v>16</v>
      </c>
      <c r="H83" s="26" t="s">
        <v>16</v>
      </c>
      <c r="I83" s="11" t="s">
        <v>16</v>
      </c>
      <c r="J83" s="11" t="s">
        <v>16</v>
      </c>
      <c r="K83" s="11" t="s">
        <v>16</v>
      </c>
      <c r="L83" s="11" t="s">
        <v>16</v>
      </c>
      <c r="M83" s="11" t="s">
        <v>16</v>
      </c>
      <c r="N83" s="11" t="s">
        <v>16</v>
      </c>
      <c r="O83" s="11" t="s">
        <v>16</v>
      </c>
      <c r="P83" s="11" t="s">
        <v>16</v>
      </c>
      <c r="Q83" s="11" t="s">
        <v>16</v>
      </c>
      <c r="R83" s="11" t="s">
        <v>16</v>
      </c>
      <c r="S83" s="11" t="s">
        <v>16</v>
      </c>
      <c r="T83" s="11" t="s">
        <v>16</v>
      </c>
      <c r="U83" s="11" t="s">
        <v>16</v>
      </c>
    </row>
    <row r="84" spans="1:23" s="17" customFormat="1" ht="12.6" customHeight="1">
      <c r="A84" s="97" t="s">
        <v>406</v>
      </c>
      <c r="B84" s="98"/>
      <c r="C84" s="34" t="s">
        <v>16</v>
      </c>
      <c r="D84" s="99" t="s">
        <v>16</v>
      </c>
      <c r="E84" s="34" t="s">
        <v>16</v>
      </c>
      <c r="F84" s="100" t="s">
        <v>16</v>
      </c>
      <c r="G84" s="101" t="s">
        <v>16</v>
      </c>
      <c r="H84" s="102" t="s">
        <v>16</v>
      </c>
      <c r="I84" s="34" t="s">
        <v>16</v>
      </c>
      <c r="J84" s="34" t="s">
        <v>16</v>
      </c>
      <c r="K84" s="34" t="s">
        <v>16</v>
      </c>
      <c r="L84" s="34" t="s">
        <v>16</v>
      </c>
      <c r="M84" s="34" t="s">
        <v>16</v>
      </c>
      <c r="N84" s="34" t="s">
        <v>16</v>
      </c>
      <c r="O84" s="34" t="s">
        <v>16</v>
      </c>
      <c r="P84" s="34" t="s">
        <v>16</v>
      </c>
      <c r="Q84" s="34" t="s">
        <v>16</v>
      </c>
      <c r="R84" s="34" t="s">
        <v>16</v>
      </c>
      <c r="S84" s="34" t="s">
        <v>16</v>
      </c>
      <c r="T84" s="34" t="s">
        <v>16</v>
      </c>
      <c r="U84" s="34" t="s">
        <v>16</v>
      </c>
    </row>
    <row r="85" spans="1:23" ht="12.6" customHeight="1">
      <c r="A85" s="75" t="s">
        <v>131</v>
      </c>
      <c r="B85" s="66" t="s">
        <v>875</v>
      </c>
      <c r="C85" s="91">
        <v>17</v>
      </c>
      <c r="D85" s="77">
        <v>3.5</v>
      </c>
      <c r="E85" s="76">
        <f>1.6*C85</f>
        <v>27.200000000000003</v>
      </c>
      <c r="F85" s="78" t="s">
        <v>31</v>
      </c>
      <c r="G85" s="79">
        <v>0.25</v>
      </c>
      <c r="H85" s="80">
        <v>0.28999999999999998</v>
      </c>
      <c r="I85" s="76">
        <v>52</v>
      </c>
      <c r="J85" s="76">
        <v>70</v>
      </c>
      <c r="K85" s="81">
        <v>67</v>
      </c>
      <c r="L85" s="82">
        <f>AVERAGE(141,143,179,169,126,153,170)</f>
        <v>154.42857142857142</v>
      </c>
      <c r="M85" s="81" t="s">
        <v>1072</v>
      </c>
      <c r="N85" s="76">
        <f>AVERAGE(239,226,200,240,230,305,195,288,300,285,260,234,258)</f>
        <v>250.76923076923077</v>
      </c>
      <c r="O85" s="76" t="s">
        <v>1072</v>
      </c>
      <c r="P85" s="82">
        <f>289*CA.US</f>
        <v>202.29999999999998</v>
      </c>
      <c r="Q85" s="76" t="s">
        <v>1045</v>
      </c>
      <c r="R85" s="81" t="s">
        <v>758</v>
      </c>
      <c r="S85" s="82" t="s">
        <v>16</v>
      </c>
      <c r="T85" s="76" t="s">
        <v>16</v>
      </c>
      <c r="U85" s="81" t="s">
        <v>16</v>
      </c>
      <c r="V85" s="2"/>
      <c r="W85" s="2"/>
    </row>
    <row r="86" spans="1:23" ht="12.6" customHeight="1">
      <c r="A86" s="75" t="s">
        <v>131</v>
      </c>
      <c r="B86" s="66" t="s">
        <v>553</v>
      </c>
      <c r="C86" s="91">
        <v>17</v>
      </c>
      <c r="D86" s="77">
        <v>3.5</v>
      </c>
      <c r="E86" s="76">
        <f t="shared" ref="E86:E90" si="10">1.6*C86</f>
        <v>27.200000000000003</v>
      </c>
      <c r="F86" s="78" t="s">
        <v>39</v>
      </c>
      <c r="G86" s="79">
        <v>0.25</v>
      </c>
      <c r="H86" s="80">
        <v>0.44</v>
      </c>
      <c r="I86" s="76">
        <v>65</v>
      </c>
      <c r="J86" s="76">
        <v>88</v>
      </c>
      <c r="K86" s="81">
        <v>77</v>
      </c>
      <c r="L86" s="76">
        <f>AVERAGE(200,233,255,225,299,280,319,300)</f>
        <v>263.875</v>
      </c>
      <c r="M86" s="81" t="s">
        <v>1045</v>
      </c>
      <c r="N86" s="76">
        <f>AVERAGE(320,340,358,400,371,375,350,325,380,348,398,386)</f>
        <v>362.58333333333331</v>
      </c>
      <c r="O86" s="76" t="s">
        <v>1027</v>
      </c>
      <c r="P86" s="82">
        <v>300</v>
      </c>
      <c r="Q86" s="76" t="s">
        <v>1072</v>
      </c>
      <c r="R86" s="81" t="s">
        <v>30</v>
      </c>
      <c r="S86" s="82">
        <v>380</v>
      </c>
      <c r="T86" s="76" t="s">
        <v>293</v>
      </c>
      <c r="U86" s="81" t="s">
        <v>30</v>
      </c>
      <c r="V86" s="2"/>
      <c r="W86" s="2"/>
    </row>
    <row r="87" spans="1:23" ht="12.6" customHeight="1">
      <c r="A87" s="75" t="s">
        <v>131</v>
      </c>
      <c r="B87" s="66" t="s">
        <v>798</v>
      </c>
      <c r="C87" s="91">
        <v>90</v>
      </c>
      <c r="D87" s="77">
        <v>2.5</v>
      </c>
      <c r="E87" s="91">
        <f t="shared" si="10"/>
        <v>144</v>
      </c>
      <c r="F87" s="78" t="s">
        <v>31</v>
      </c>
      <c r="G87" s="79">
        <v>0.4</v>
      </c>
      <c r="H87" s="80">
        <v>0.53</v>
      </c>
      <c r="I87" s="76">
        <v>64</v>
      </c>
      <c r="J87" s="76">
        <v>80</v>
      </c>
      <c r="K87" s="81">
        <v>55</v>
      </c>
      <c r="L87" s="76">
        <f>AVERAGE(349,299,280,419,349,288,270,325)</f>
        <v>322.375</v>
      </c>
      <c r="M87" s="81" t="s">
        <v>1045</v>
      </c>
      <c r="N87" s="76">
        <f>AVERAGE(489,460,415,399,550,450,599,409,400,405,512)</f>
        <v>462.54545454545456</v>
      </c>
      <c r="O87" s="81" t="s">
        <v>1072</v>
      </c>
      <c r="P87" s="82" t="s">
        <v>16</v>
      </c>
      <c r="Q87" s="76" t="s">
        <v>16</v>
      </c>
      <c r="R87" s="81" t="s">
        <v>16</v>
      </c>
      <c r="S87" s="82" t="s">
        <v>16</v>
      </c>
      <c r="T87" s="76" t="s">
        <v>16</v>
      </c>
      <c r="U87" s="81" t="s">
        <v>16</v>
      </c>
      <c r="V87" s="2"/>
      <c r="W87" s="2"/>
    </row>
    <row r="88" spans="1:23" s="17" customFormat="1" ht="12.6" customHeight="1">
      <c r="A88" s="75" t="s">
        <v>131</v>
      </c>
      <c r="B88" s="66" t="s">
        <v>799</v>
      </c>
      <c r="C88" s="76">
        <v>100</v>
      </c>
      <c r="D88" s="77">
        <v>2.8</v>
      </c>
      <c r="E88" s="76">
        <f t="shared" si="10"/>
        <v>160</v>
      </c>
      <c r="F88" s="78" t="s">
        <v>39</v>
      </c>
      <c r="G88" s="79">
        <v>0.3</v>
      </c>
      <c r="H88" s="80">
        <v>0.54</v>
      </c>
      <c r="I88" s="76">
        <v>95</v>
      </c>
      <c r="J88" s="76">
        <v>73</v>
      </c>
      <c r="K88" s="81">
        <v>55</v>
      </c>
      <c r="L88" s="76">
        <f>AVERAGE(252,234,208,218,257,180,181,218,240)</f>
        <v>220.88888888888889</v>
      </c>
      <c r="M88" s="81" t="s">
        <v>1045</v>
      </c>
      <c r="N88" s="76">
        <f>AVERAGE(275,325,344,344,335,400,360)</f>
        <v>340.42857142857144</v>
      </c>
      <c r="O88" s="76" t="s">
        <v>1033</v>
      </c>
      <c r="P88" s="103" t="s">
        <v>873</v>
      </c>
      <c r="Q88" s="76" t="s">
        <v>878</v>
      </c>
      <c r="R88" s="104" t="s">
        <v>30</v>
      </c>
      <c r="S88" s="103" t="s">
        <v>872</v>
      </c>
      <c r="T88" s="76" t="s">
        <v>878</v>
      </c>
      <c r="U88" s="104" t="s">
        <v>30</v>
      </c>
      <c r="V88" s="2"/>
      <c r="W88" s="2"/>
    </row>
    <row r="89" spans="1:23" s="17" customFormat="1" ht="12.6" customHeight="1">
      <c r="A89" s="75" t="s">
        <v>131</v>
      </c>
      <c r="B89" s="66" t="s">
        <v>800</v>
      </c>
      <c r="C89" s="76">
        <v>300</v>
      </c>
      <c r="D89" s="77">
        <v>2.8</v>
      </c>
      <c r="E89" s="76">
        <f t="shared" si="10"/>
        <v>480</v>
      </c>
      <c r="F89" s="78" t="s">
        <v>39</v>
      </c>
      <c r="G89" s="79">
        <v>2.4</v>
      </c>
      <c r="H89" s="80">
        <v>2.2999999999999998</v>
      </c>
      <c r="I89" s="76">
        <v>187</v>
      </c>
      <c r="J89" s="76">
        <v>117</v>
      </c>
      <c r="K89" s="81">
        <v>112</v>
      </c>
      <c r="L89" s="76">
        <f>AVERAGE(799,925)</f>
        <v>862</v>
      </c>
      <c r="M89" s="81" t="s">
        <v>1045</v>
      </c>
      <c r="N89" s="76">
        <f>AVERAGE(1233,1580,1535)</f>
        <v>1449.3333333333333</v>
      </c>
      <c r="O89" s="81" t="s">
        <v>952</v>
      </c>
      <c r="P89" s="103" t="s">
        <v>915</v>
      </c>
      <c r="Q89" s="76" t="s">
        <v>917</v>
      </c>
      <c r="R89" s="104" t="s">
        <v>30</v>
      </c>
      <c r="S89" s="105" t="s">
        <v>16</v>
      </c>
      <c r="T89" s="76" t="s">
        <v>16</v>
      </c>
      <c r="U89" s="104" t="s">
        <v>16</v>
      </c>
      <c r="V89" s="2"/>
      <c r="W89" s="2"/>
    </row>
    <row r="90" spans="1:23" s="17" customFormat="1" ht="12.6" customHeight="1">
      <c r="A90" s="75" t="s">
        <v>131</v>
      </c>
      <c r="B90" s="66" t="s">
        <v>801</v>
      </c>
      <c r="C90" s="76">
        <v>300</v>
      </c>
      <c r="D90" s="77">
        <v>2.8</v>
      </c>
      <c r="E90" s="76">
        <f t="shared" si="10"/>
        <v>480</v>
      </c>
      <c r="F90" s="78" t="s">
        <v>31</v>
      </c>
      <c r="G90" s="79" t="s">
        <v>16</v>
      </c>
      <c r="H90" s="80" t="s">
        <v>16</v>
      </c>
      <c r="I90" s="76" t="s">
        <v>16</v>
      </c>
      <c r="J90" s="76" t="s">
        <v>16</v>
      </c>
      <c r="K90" s="81" t="s">
        <v>16</v>
      </c>
      <c r="L90" s="76">
        <f>AVERAGE(385,233)</f>
        <v>309</v>
      </c>
      <c r="M90" s="81" t="s">
        <v>1045</v>
      </c>
      <c r="N90" s="76">
        <f>AVERAGE(355,598,598,600)</f>
        <v>537.75</v>
      </c>
      <c r="O90" s="81" t="s">
        <v>1072</v>
      </c>
      <c r="P90" s="103" t="s">
        <v>16</v>
      </c>
      <c r="Q90" s="76" t="s">
        <v>16</v>
      </c>
      <c r="R90" s="104" t="s">
        <v>16</v>
      </c>
      <c r="S90" s="105" t="s">
        <v>16</v>
      </c>
      <c r="T90" s="76" t="s">
        <v>16</v>
      </c>
      <c r="U90" s="104" t="s">
        <v>16</v>
      </c>
      <c r="V90" s="2"/>
      <c r="W90" s="2"/>
    </row>
    <row r="91" spans="1:23" ht="12.6" customHeight="1">
      <c r="A91" s="83" t="s">
        <v>131</v>
      </c>
      <c r="B91" s="60" t="s">
        <v>802</v>
      </c>
      <c r="C91" s="84">
        <v>300</v>
      </c>
      <c r="D91" s="106">
        <v>4</v>
      </c>
      <c r="E91" s="84">
        <f>1.6*C91</f>
        <v>480</v>
      </c>
      <c r="F91" s="85" t="s">
        <v>39</v>
      </c>
      <c r="G91" s="86" t="s">
        <v>16</v>
      </c>
      <c r="H91" s="87" t="s">
        <v>16</v>
      </c>
      <c r="I91" s="84" t="s">
        <v>16</v>
      </c>
      <c r="J91" s="84" t="s">
        <v>16</v>
      </c>
      <c r="K91" s="88" t="s">
        <v>16</v>
      </c>
      <c r="L91" s="84">
        <f>AVERAGE(328,328,301,350,340,350,364)</f>
        <v>337.28571428571428</v>
      </c>
      <c r="M91" s="88" t="s">
        <v>1072</v>
      </c>
      <c r="N91" s="84">
        <f>AVERAGE(428,479,440,405,401)</f>
        <v>430.6</v>
      </c>
      <c r="O91" s="84" t="s">
        <v>952</v>
      </c>
      <c r="P91" s="82" t="s">
        <v>16</v>
      </c>
      <c r="Q91" s="76" t="s">
        <v>16</v>
      </c>
      <c r="R91" s="81" t="s">
        <v>16</v>
      </c>
      <c r="S91" s="82" t="s">
        <v>16</v>
      </c>
      <c r="T91" s="76" t="s">
        <v>16</v>
      </c>
      <c r="U91" s="81" t="s">
        <v>16</v>
      </c>
      <c r="V91" s="2"/>
      <c r="W91" s="2"/>
    </row>
    <row r="92" spans="1:23" ht="12.6" customHeight="1">
      <c r="A92" s="75" t="s">
        <v>131</v>
      </c>
      <c r="B92" s="66" t="s">
        <v>289</v>
      </c>
      <c r="C92" s="107" t="s">
        <v>276</v>
      </c>
      <c r="D92" s="76" t="s">
        <v>88</v>
      </c>
      <c r="E92" s="76" t="s">
        <v>277</v>
      </c>
      <c r="F92" s="78" t="s">
        <v>98</v>
      </c>
      <c r="G92" s="79">
        <v>0.14000000000000001</v>
      </c>
      <c r="H92" s="80">
        <v>0.35</v>
      </c>
      <c r="I92" s="76">
        <v>71.5</v>
      </c>
      <c r="J92" s="76">
        <v>68</v>
      </c>
      <c r="K92" s="81" t="s">
        <v>31</v>
      </c>
      <c r="L92" s="76">
        <f>AVERAGE(300,319,350,321,401,386,311,335,340)</f>
        <v>340.33333333333331</v>
      </c>
      <c r="M92" s="81" t="s">
        <v>1045</v>
      </c>
      <c r="N92" s="76">
        <f>AVERAGE(398,529,425,450,450,467,501,395,470,425)</f>
        <v>451</v>
      </c>
      <c r="O92" s="76" t="s">
        <v>952</v>
      </c>
      <c r="P92" s="108" t="s">
        <v>16</v>
      </c>
      <c r="Q92" s="109" t="s">
        <v>16</v>
      </c>
      <c r="R92" s="110" t="s">
        <v>16</v>
      </c>
      <c r="S92" s="108">
        <v>375</v>
      </c>
      <c r="T92" s="109" t="s">
        <v>1045</v>
      </c>
      <c r="U92" s="110" t="s">
        <v>33</v>
      </c>
      <c r="V92" s="2"/>
      <c r="W92" s="2"/>
    </row>
    <row r="93" spans="1:23" ht="12.6" customHeight="1">
      <c r="A93" s="75" t="s">
        <v>131</v>
      </c>
      <c r="B93" s="66" t="s">
        <v>334</v>
      </c>
      <c r="C93" s="107" t="s">
        <v>335</v>
      </c>
      <c r="D93" s="77">
        <v>2.8</v>
      </c>
      <c r="E93" s="76" t="s">
        <v>336</v>
      </c>
      <c r="F93" s="78" t="s">
        <v>98</v>
      </c>
      <c r="G93" s="79">
        <v>0.3</v>
      </c>
      <c r="H93" s="80">
        <v>0.56000000000000005</v>
      </c>
      <c r="I93" s="76">
        <v>89</v>
      </c>
      <c r="J93" s="76">
        <v>84</v>
      </c>
      <c r="K93" s="81">
        <v>77</v>
      </c>
      <c r="L93" s="76">
        <f>AVERAGE(305,320,316,260,338,332,304,360,300)</f>
        <v>315</v>
      </c>
      <c r="M93" s="81" t="s">
        <v>1072</v>
      </c>
      <c r="N93" s="76">
        <f>AVERAGE(315,419,437,385,381,370)</f>
        <v>384.5</v>
      </c>
      <c r="O93" s="76" t="s">
        <v>1072</v>
      </c>
      <c r="P93" s="82">
        <v>367</v>
      </c>
      <c r="Q93" s="76" t="s">
        <v>1072</v>
      </c>
      <c r="R93" s="81" t="s">
        <v>30</v>
      </c>
      <c r="S93" s="82">
        <v>400</v>
      </c>
      <c r="T93" s="76" t="s">
        <v>981</v>
      </c>
      <c r="U93" s="81" t="s">
        <v>30</v>
      </c>
      <c r="V93" s="2"/>
      <c r="W93" s="2"/>
    </row>
    <row r="94" spans="1:23" ht="12.6" customHeight="1">
      <c r="A94" s="75" t="s">
        <v>131</v>
      </c>
      <c r="B94" s="66" t="s">
        <v>209</v>
      </c>
      <c r="C94" s="107" t="s">
        <v>106</v>
      </c>
      <c r="D94" s="76">
        <v>4</v>
      </c>
      <c r="E94" s="76" t="s">
        <v>107</v>
      </c>
      <c r="F94" s="78" t="s">
        <v>98</v>
      </c>
      <c r="G94" s="79">
        <v>0.56999999999999995</v>
      </c>
      <c r="H94" s="80">
        <v>0.3</v>
      </c>
      <c r="I94" s="76">
        <v>89.5</v>
      </c>
      <c r="J94" s="76">
        <v>84</v>
      </c>
      <c r="K94" s="81">
        <v>77</v>
      </c>
      <c r="L94" s="76">
        <f>AVERAGE(326,,236,320,298,267,355,325,340,290,300,305)</f>
        <v>280.16666666666669</v>
      </c>
      <c r="M94" s="81" t="s">
        <v>1072</v>
      </c>
      <c r="N94" s="76">
        <f>AVERAGE(375,419,419,395,475,499,492,395)</f>
        <v>433.625</v>
      </c>
      <c r="O94" s="76" t="s">
        <v>1072</v>
      </c>
      <c r="P94" s="103" t="s">
        <v>437</v>
      </c>
      <c r="Q94" s="76" t="s">
        <v>1072</v>
      </c>
      <c r="R94" s="104" t="s">
        <v>33</v>
      </c>
      <c r="S94" s="103" t="s">
        <v>1038</v>
      </c>
      <c r="T94" s="76" t="s">
        <v>1072</v>
      </c>
      <c r="U94" s="104" t="s">
        <v>33</v>
      </c>
      <c r="V94" s="2"/>
      <c r="W94" s="2"/>
    </row>
    <row r="95" spans="1:23" ht="12.6" customHeight="1">
      <c r="A95" s="75" t="s">
        <v>131</v>
      </c>
      <c r="B95" s="66" t="s">
        <v>518</v>
      </c>
      <c r="C95" s="107" t="s">
        <v>519</v>
      </c>
      <c r="D95" s="77">
        <v>2.8</v>
      </c>
      <c r="E95" s="76" t="s">
        <v>520</v>
      </c>
      <c r="F95" s="78" t="s">
        <v>39</v>
      </c>
      <c r="G95" s="79">
        <v>0.28000000000000003</v>
      </c>
      <c r="H95" s="80">
        <v>0.95</v>
      </c>
      <c r="I95" s="76">
        <v>133.30000000000001</v>
      </c>
      <c r="J95" s="76">
        <v>90</v>
      </c>
      <c r="K95" s="81" t="s">
        <v>31</v>
      </c>
      <c r="L95" s="76">
        <f>AVERAGE(419,499,488,480,375,485,492,477)</f>
        <v>464.375</v>
      </c>
      <c r="M95" s="81" t="s">
        <v>1072</v>
      </c>
      <c r="N95" s="111">
        <f>AVERAGE(639,785,700)</f>
        <v>708</v>
      </c>
      <c r="O95" s="76" t="s">
        <v>952</v>
      </c>
      <c r="P95" s="103" t="s">
        <v>1058</v>
      </c>
      <c r="Q95" s="76" t="s">
        <v>1072</v>
      </c>
      <c r="R95" s="104" t="s">
        <v>30</v>
      </c>
      <c r="S95" s="103" t="s">
        <v>688</v>
      </c>
      <c r="T95" s="76" t="s">
        <v>685</v>
      </c>
      <c r="U95" s="104" t="s">
        <v>30</v>
      </c>
      <c r="V95" s="2"/>
      <c r="W95" s="2"/>
    </row>
    <row r="96" spans="1:23" ht="12.6" customHeight="1">
      <c r="A96" s="75" t="s">
        <v>131</v>
      </c>
      <c r="B96" s="66" t="s">
        <v>709</v>
      </c>
      <c r="C96" s="107" t="s">
        <v>51</v>
      </c>
      <c r="D96" s="77">
        <v>4</v>
      </c>
      <c r="E96" s="76" t="s">
        <v>52</v>
      </c>
      <c r="F96" s="78" t="s">
        <v>39</v>
      </c>
      <c r="G96" s="79">
        <v>0.27900000000000003</v>
      </c>
      <c r="H96" s="80">
        <v>0.6</v>
      </c>
      <c r="I96" s="76">
        <v>94</v>
      </c>
      <c r="J96" s="76">
        <v>88.9</v>
      </c>
      <c r="K96" s="81">
        <v>82</v>
      </c>
      <c r="L96" s="76">
        <f>AVERAGE(232,255,280,240,342)</f>
        <v>269.8</v>
      </c>
      <c r="M96" s="93" t="s">
        <v>967</v>
      </c>
      <c r="N96" s="76">
        <f>AVERAGE(290,379,399)</f>
        <v>356</v>
      </c>
      <c r="O96" s="91" t="s">
        <v>1033</v>
      </c>
      <c r="P96" s="103"/>
      <c r="Q96" s="76"/>
      <c r="R96" s="104"/>
      <c r="S96" s="103"/>
      <c r="T96" s="76"/>
      <c r="U96" s="104"/>
      <c r="V96" s="2"/>
      <c r="W96" s="2"/>
    </row>
    <row r="97" spans="1:23" s="17" customFormat="1" ht="12.6" customHeight="1">
      <c r="A97" s="112" t="s">
        <v>131</v>
      </c>
      <c r="B97" s="113" t="s">
        <v>210</v>
      </c>
      <c r="C97" s="76" t="s">
        <v>57</v>
      </c>
      <c r="D97" s="77">
        <v>2.8</v>
      </c>
      <c r="E97" s="76" t="s">
        <v>58</v>
      </c>
      <c r="F97" s="78" t="s">
        <v>39</v>
      </c>
      <c r="G97" s="79">
        <v>0.52</v>
      </c>
      <c r="H97" s="80">
        <v>0.59</v>
      </c>
      <c r="I97" s="76">
        <v>86</v>
      </c>
      <c r="J97" s="76">
        <v>84</v>
      </c>
      <c r="K97" s="81">
        <v>77</v>
      </c>
      <c r="L97" s="76">
        <f>AVERAGE(176,182,183)</f>
        <v>180.33333333333334</v>
      </c>
      <c r="M97" s="81" t="s">
        <v>1072</v>
      </c>
      <c r="N97" s="76">
        <f>AVERAGE(350,317,279)</f>
        <v>315.33333333333331</v>
      </c>
      <c r="O97" s="76" t="s">
        <v>884</v>
      </c>
      <c r="P97" s="82">
        <v>275</v>
      </c>
      <c r="Q97" s="76" t="s">
        <v>816</v>
      </c>
      <c r="R97" s="81" t="s">
        <v>30</v>
      </c>
      <c r="S97" s="82" t="s">
        <v>16</v>
      </c>
      <c r="T97" s="76" t="s">
        <v>16</v>
      </c>
      <c r="U97" s="81" t="s">
        <v>16</v>
      </c>
      <c r="V97" s="2"/>
      <c r="W97" s="2"/>
    </row>
    <row r="98" spans="1:23" ht="12.6" customHeight="1">
      <c r="A98" s="75" t="s">
        <v>131</v>
      </c>
      <c r="B98" s="66" t="s">
        <v>295</v>
      </c>
      <c r="C98" s="91" t="s">
        <v>132</v>
      </c>
      <c r="D98" s="77">
        <v>2.8</v>
      </c>
      <c r="E98" s="91" t="s">
        <v>613</v>
      </c>
      <c r="F98" s="78" t="s">
        <v>31</v>
      </c>
      <c r="G98" s="79">
        <v>0.4</v>
      </c>
      <c r="H98" s="80">
        <v>0.505</v>
      </c>
      <c r="I98" s="76">
        <v>79</v>
      </c>
      <c r="J98" s="76">
        <v>75</v>
      </c>
      <c r="K98" s="91">
        <v>72</v>
      </c>
      <c r="L98" s="82">
        <f>AVERAGE(130,139)</f>
        <v>134.5</v>
      </c>
      <c r="M98" s="114" t="s">
        <v>981</v>
      </c>
      <c r="N98" s="76">
        <f>AVERAGE(177,197,135,176)</f>
        <v>171.25</v>
      </c>
      <c r="O98" s="81" t="s">
        <v>967</v>
      </c>
      <c r="P98" s="82">
        <v>140</v>
      </c>
      <c r="Q98" s="80" t="s">
        <v>631</v>
      </c>
      <c r="R98" s="114" t="s">
        <v>32</v>
      </c>
      <c r="S98" s="96" t="s">
        <v>16</v>
      </c>
      <c r="T98" s="80" t="s">
        <v>16</v>
      </c>
      <c r="U98" s="114" t="s">
        <v>16</v>
      </c>
      <c r="V98" s="2"/>
      <c r="W98" s="2"/>
    </row>
    <row r="99" spans="1:23" ht="11.25" customHeight="1">
      <c r="A99" s="75" t="s">
        <v>131</v>
      </c>
      <c r="B99" s="66" t="s">
        <v>211</v>
      </c>
      <c r="C99" s="91" t="s">
        <v>65</v>
      </c>
      <c r="D99" s="77">
        <v>2.8</v>
      </c>
      <c r="E99" s="91" t="s">
        <v>111</v>
      </c>
      <c r="F99" s="78" t="s">
        <v>39</v>
      </c>
      <c r="G99" s="79">
        <v>0.7</v>
      </c>
      <c r="H99" s="80">
        <v>0.72</v>
      </c>
      <c r="I99" s="76">
        <v>108</v>
      </c>
      <c r="J99" s="76">
        <v>84</v>
      </c>
      <c r="K99" s="81">
        <v>77</v>
      </c>
      <c r="L99" s="82">
        <f>AVERAGE(249,225,215,200,268,206,226,256,218)</f>
        <v>229.22222222222223</v>
      </c>
      <c r="M99" s="114" t="s">
        <v>1045</v>
      </c>
      <c r="N99" s="76">
        <f>AVERAGE(240,365,398,304,315,330)</f>
        <v>325.33333333333331</v>
      </c>
      <c r="O99" s="80" t="s">
        <v>1045</v>
      </c>
      <c r="P99" s="82">
        <v>415</v>
      </c>
      <c r="Q99" s="80" t="s">
        <v>686</v>
      </c>
      <c r="R99" s="114" t="s">
        <v>30</v>
      </c>
      <c r="S99" s="82" t="s">
        <v>16</v>
      </c>
      <c r="T99" s="80" t="s">
        <v>16</v>
      </c>
      <c r="U99" s="114" t="s">
        <v>16</v>
      </c>
      <c r="V99" s="2"/>
      <c r="W99" s="2"/>
    </row>
    <row r="100" spans="1:23" ht="12.6" customHeight="1">
      <c r="A100" s="75" t="s">
        <v>131</v>
      </c>
      <c r="B100" s="66" t="s">
        <v>279</v>
      </c>
      <c r="C100" s="91" t="s">
        <v>65</v>
      </c>
      <c r="D100" s="77" t="s">
        <v>133</v>
      </c>
      <c r="E100" s="91" t="s">
        <v>111</v>
      </c>
      <c r="F100" s="78" t="s">
        <v>39</v>
      </c>
      <c r="G100" s="79">
        <v>0.7</v>
      </c>
      <c r="H100" s="80">
        <v>0.75</v>
      </c>
      <c r="I100" s="76">
        <v>107</v>
      </c>
      <c r="J100" s="76">
        <v>79</v>
      </c>
      <c r="K100" s="81">
        <v>77</v>
      </c>
      <c r="L100" s="76">
        <f>AVERAGE(270,258,213,272)</f>
        <v>253.25</v>
      </c>
      <c r="M100" s="81" t="s">
        <v>878</v>
      </c>
      <c r="N100" s="76">
        <f>AVERAGE(326,400,315,395,375,300,255,329)</f>
        <v>336.875</v>
      </c>
      <c r="O100" s="80" t="s">
        <v>739</v>
      </c>
      <c r="P100" s="82">
        <v>310</v>
      </c>
      <c r="Q100" s="80" t="s">
        <v>816</v>
      </c>
      <c r="R100" s="114" t="s">
        <v>30</v>
      </c>
      <c r="S100" s="82" t="s">
        <v>16</v>
      </c>
      <c r="T100" s="80" t="s">
        <v>16</v>
      </c>
      <c r="U100" s="114" t="s">
        <v>16</v>
      </c>
      <c r="V100" s="2"/>
      <c r="W100" s="2"/>
    </row>
    <row r="101" spans="1:23" ht="12.6" customHeight="1">
      <c r="A101" s="75" t="s">
        <v>131</v>
      </c>
      <c r="B101" s="66" t="s">
        <v>212</v>
      </c>
      <c r="C101" s="91" t="s">
        <v>68</v>
      </c>
      <c r="D101" s="77">
        <v>2.8</v>
      </c>
      <c r="E101" s="91" t="s">
        <v>70</v>
      </c>
      <c r="F101" s="78" t="s">
        <v>39</v>
      </c>
      <c r="G101" s="79">
        <v>0.5</v>
      </c>
      <c r="H101" s="80">
        <v>0.82</v>
      </c>
      <c r="I101" s="76">
        <v>120</v>
      </c>
      <c r="J101" s="76">
        <v>84</v>
      </c>
      <c r="K101" s="81">
        <v>77</v>
      </c>
      <c r="L101" s="76">
        <f>AVERAGE(238,255,221,289,270,275)</f>
        <v>258</v>
      </c>
      <c r="M101" s="81" t="s">
        <v>1072</v>
      </c>
      <c r="N101" s="76">
        <f>AVERAGE(339,350,368,368,320,380,385,350,320,350,334)</f>
        <v>351.27272727272725</v>
      </c>
      <c r="O101" s="80" t="s">
        <v>885</v>
      </c>
      <c r="P101" s="82">
        <v>245</v>
      </c>
      <c r="Q101" s="80" t="s">
        <v>816</v>
      </c>
      <c r="R101" s="114" t="s">
        <v>30</v>
      </c>
      <c r="S101" s="82" t="s">
        <v>16</v>
      </c>
      <c r="T101" s="80" t="s">
        <v>16</v>
      </c>
      <c r="U101" s="114" t="s">
        <v>16</v>
      </c>
      <c r="V101" s="2"/>
      <c r="W101" s="2"/>
    </row>
    <row r="102" spans="1:23" ht="12.6" customHeight="1">
      <c r="A102" s="75" t="s">
        <v>131</v>
      </c>
      <c r="B102" s="66" t="s">
        <v>213</v>
      </c>
      <c r="C102" s="91" t="s">
        <v>76</v>
      </c>
      <c r="D102" s="77">
        <v>2.8</v>
      </c>
      <c r="E102" s="91" t="s">
        <v>77</v>
      </c>
      <c r="F102" s="78" t="s">
        <v>39</v>
      </c>
      <c r="G102" s="79">
        <v>1.8</v>
      </c>
      <c r="H102" s="80">
        <v>1.35</v>
      </c>
      <c r="I102" s="76">
        <v>184</v>
      </c>
      <c r="J102" s="76">
        <v>84</v>
      </c>
      <c r="K102" s="81">
        <v>77</v>
      </c>
      <c r="L102" s="82">
        <f>AVERAGE(355,213,345,400,350,438,305)</f>
        <v>343.71428571428572</v>
      </c>
      <c r="M102" s="93" t="s">
        <v>973</v>
      </c>
      <c r="N102" s="76">
        <f>AVERAGE(400,515,620,530,600,525,510)</f>
        <v>528.57142857142856</v>
      </c>
      <c r="O102" s="16" t="s">
        <v>970</v>
      </c>
      <c r="P102" s="103" t="s">
        <v>916</v>
      </c>
      <c r="Q102" s="76" t="s">
        <v>917</v>
      </c>
      <c r="R102" s="104" t="s">
        <v>33</v>
      </c>
      <c r="S102" s="103" t="s">
        <v>16</v>
      </c>
      <c r="T102" s="76" t="s">
        <v>16</v>
      </c>
      <c r="U102" s="104" t="s">
        <v>16</v>
      </c>
      <c r="V102" s="2"/>
      <c r="W102" s="2"/>
    </row>
    <row r="103" spans="1:23" ht="12.6" customHeight="1">
      <c r="A103" s="75" t="s">
        <v>131</v>
      </c>
      <c r="B103" s="66" t="s">
        <v>1060</v>
      </c>
      <c r="C103" s="91" t="s">
        <v>91</v>
      </c>
      <c r="D103" s="77">
        <v>4</v>
      </c>
      <c r="E103" s="91" t="s">
        <v>290</v>
      </c>
      <c r="F103" s="78" t="s">
        <v>39</v>
      </c>
      <c r="G103" s="79">
        <v>2</v>
      </c>
      <c r="H103" s="80">
        <v>1.52</v>
      </c>
      <c r="I103" s="76">
        <v>228.6</v>
      </c>
      <c r="J103" s="76">
        <v>81.3</v>
      </c>
      <c r="K103" s="81">
        <v>77</v>
      </c>
      <c r="L103" s="82">
        <f>AVERAGE(189,200)</f>
        <v>194.5</v>
      </c>
      <c r="M103" s="93" t="s">
        <v>1072</v>
      </c>
      <c r="N103" s="76">
        <f>AVERAGE(375,400,300)</f>
        <v>358.33333333333331</v>
      </c>
      <c r="O103" s="16" t="s">
        <v>973</v>
      </c>
      <c r="P103" s="103">
        <v>295</v>
      </c>
      <c r="Q103" s="76" t="s">
        <v>631</v>
      </c>
      <c r="R103" s="104" t="s">
        <v>583</v>
      </c>
      <c r="S103" s="103" t="s">
        <v>16</v>
      </c>
      <c r="T103" s="76" t="s">
        <v>16</v>
      </c>
      <c r="U103" s="104" t="s">
        <v>16</v>
      </c>
      <c r="V103" s="2"/>
      <c r="W103" s="2"/>
    </row>
    <row r="104" spans="1:23" ht="12.6" customHeight="1">
      <c r="A104" s="83" t="s">
        <v>131</v>
      </c>
      <c r="B104" s="60" t="s">
        <v>955</v>
      </c>
      <c r="C104" s="84" t="s">
        <v>307</v>
      </c>
      <c r="D104" s="106">
        <v>5.6</v>
      </c>
      <c r="E104" s="84" t="s">
        <v>308</v>
      </c>
      <c r="F104" s="85" t="s">
        <v>31</v>
      </c>
      <c r="G104" s="86">
        <v>3.1</v>
      </c>
      <c r="H104" s="87">
        <v>2.2400000000000002</v>
      </c>
      <c r="I104" s="84">
        <v>314</v>
      </c>
      <c r="J104" s="84">
        <v>104</v>
      </c>
      <c r="K104" s="88">
        <v>95</v>
      </c>
      <c r="L104" s="89">
        <f>AVERAGE(228,234,219,229)</f>
        <v>227.5</v>
      </c>
      <c r="M104" s="88" t="s">
        <v>1072</v>
      </c>
      <c r="N104" s="84">
        <f>AVERAGE(299,280,335,294,290)</f>
        <v>299.60000000000002</v>
      </c>
      <c r="O104" s="88" t="s">
        <v>1072</v>
      </c>
      <c r="P104" s="89"/>
      <c r="Q104" s="84"/>
      <c r="R104" s="88"/>
      <c r="S104" s="89">
        <v>450</v>
      </c>
      <c r="T104" s="84" t="s">
        <v>981</v>
      </c>
      <c r="U104" s="88" t="s">
        <v>32</v>
      </c>
      <c r="V104" s="2"/>
      <c r="W104" s="2"/>
    </row>
  </sheetData>
  <sheetProtection password="990B" sheet="1" objects="1" scenarios="1"/>
  <phoneticPr fontId="0" type="noConversion"/>
  <conditionalFormatting sqref="O90:O95 M90:M93 M34:M38 O34:O38 O97:O101 O32 O104:O65544 M21 O21 O75:O86 O16:O19 O49 M95 M75:M87 M55:M60 M15:M19 M32 M67:M72 O55:O60 M97:M102 M1:M7 O1:O7 M105:M65544 M64 O62:O72 M62 O11:O13 M11:M13 O24:O29 O44:O47 M44:M47 O9 M9 O41:O42 M41:M42 O51 M24:M30">
    <cfRule type="cellIs" dxfId="317" priority="51" stopIfTrue="1" operator="lessThan">
      <formula>".08-09"</formula>
    </cfRule>
  </conditionalFormatting>
  <conditionalFormatting sqref="O88 M88 O52 M48:M49 M54 O54 M51:M52">
    <cfRule type="cellIs" dxfId="316" priority="52" stopIfTrue="1" operator="lessThan">
      <formula>".07-06"</formula>
    </cfRule>
  </conditionalFormatting>
  <conditionalFormatting sqref="M33 O33">
    <cfRule type="cellIs" dxfId="315" priority="50" stopIfTrue="1" operator="lessThan">
      <formula>".08-09"</formula>
    </cfRule>
  </conditionalFormatting>
  <conditionalFormatting sqref="M96 O96">
    <cfRule type="cellIs" dxfId="314" priority="47" stopIfTrue="1" operator="lessThan">
      <formula>".08-09"</formula>
    </cfRule>
  </conditionalFormatting>
  <conditionalFormatting sqref="M65">
    <cfRule type="cellIs" dxfId="313" priority="46" stopIfTrue="1" operator="lessThan">
      <formula>".08-09"</formula>
    </cfRule>
  </conditionalFormatting>
  <conditionalFormatting sqref="M23 O23">
    <cfRule type="cellIs" dxfId="312" priority="44" stopIfTrue="1" operator="lessThan">
      <formula>".08-09"</formula>
    </cfRule>
  </conditionalFormatting>
  <conditionalFormatting sqref="M22 O22">
    <cfRule type="cellIs" dxfId="311" priority="43" stopIfTrue="1" operator="lessThan">
      <formula>".08-09"</formula>
    </cfRule>
  </conditionalFormatting>
  <conditionalFormatting sqref="M20 O20">
    <cfRule type="cellIs" dxfId="310" priority="42" stopIfTrue="1" operator="lessThan">
      <formula>".08-09"</formula>
    </cfRule>
  </conditionalFormatting>
  <conditionalFormatting sqref="M66">
    <cfRule type="cellIs" dxfId="309" priority="40" stopIfTrue="1" operator="lessThan">
      <formula>".08-09"</formula>
    </cfRule>
  </conditionalFormatting>
  <conditionalFormatting sqref="O15">
    <cfRule type="cellIs" dxfId="308" priority="39" stopIfTrue="1" operator="lessThan">
      <formula>".08-09"</formula>
    </cfRule>
  </conditionalFormatting>
  <conditionalFormatting sqref="O48">
    <cfRule type="cellIs" dxfId="307" priority="37" stopIfTrue="1" operator="lessThan">
      <formula>".08-09"</formula>
    </cfRule>
  </conditionalFormatting>
  <conditionalFormatting sqref="M94">
    <cfRule type="cellIs" dxfId="306" priority="36" stopIfTrue="1" operator="lessThan">
      <formula>".08-09"</formula>
    </cfRule>
  </conditionalFormatting>
  <conditionalFormatting sqref="O74">
    <cfRule type="cellIs" dxfId="305" priority="34" stopIfTrue="1" operator="lessThan">
      <formula>".08-09"</formula>
    </cfRule>
  </conditionalFormatting>
  <conditionalFormatting sqref="M73">
    <cfRule type="cellIs" dxfId="304" priority="33" stopIfTrue="1" operator="lessThan">
      <formula>".08-09"</formula>
    </cfRule>
  </conditionalFormatting>
  <conditionalFormatting sqref="O73">
    <cfRule type="cellIs" dxfId="303" priority="32" stopIfTrue="1" operator="lessThan">
      <formula>".08-09"</formula>
    </cfRule>
  </conditionalFormatting>
  <conditionalFormatting sqref="M74">
    <cfRule type="cellIs" dxfId="302" priority="31" stopIfTrue="1" operator="lessThan">
      <formula>".08-09"</formula>
    </cfRule>
  </conditionalFormatting>
  <conditionalFormatting sqref="M39">
    <cfRule type="cellIs" dxfId="301" priority="30" stopIfTrue="1" operator="lessThan">
      <formula>".08-09"</formula>
    </cfRule>
  </conditionalFormatting>
  <conditionalFormatting sqref="O39">
    <cfRule type="cellIs" dxfId="300" priority="29" stopIfTrue="1" operator="lessThan">
      <formula>".08-09"</formula>
    </cfRule>
  </conditionalFormatting>
  <conditionalFormatting sqref="O40 M40">
    <cfRule type="cellIs" dxfId="299" priority="28" stopIfTrue="1" operator="lessThan">
      <formula>".08-09"</formula>
    </cfRule>
  </conditionalFormatting>
  <conditionalFormatting sqref="M14">
    <cfRule type="cellIs" dxfId="298" priority="27" stopIfTrue="1" operator="lessThan">
      <formula>".08-09"</formula>
    </cfRule>
  </conditionalFormatting>
  <conditionalFormatting sqref="O14">
    <cfRule type="cellIs" dxfId="297" priority="26" stopIfTrue="1" operator="lessThan">
      <formula>".08-09"</formula>
    </cfRule>
  </conditionalFormatting>
  <conditionalFormatting sqref="M31">
    <cfRule type="cellIs" dxfId="296" priority="25" stopIfTrue="1" operator="lessThan">
      <formula>".08-09"</formula>
    </cfRule>
  </conditionalFormatting>
  <conditionalFormatting sqref="O87">
    <cfRule type="cellIs" dxfId="295" priority="24" stopIfTrue="1" operator="lessThan">
      <formula>".08-09"</formula>
    </cfRule>
  </conditionalFormatting>
  <conditionalFormatting sqref="O89">
    <cfRule type="cellIs" dxfId="294" priority="23" stopIfTrue="1" operator="lessThan">
      <formula>".08-09"</formula>
    </cfRule>
  </conditionalFormatting>
  <conditionalFormatting sqref="O43 M43">
    <cfRule type="cellIs" dxfId="293" priority="21" stopIfTrue="1" operator="lessThan">
      <formula>".08-09"</formula>
    </cfRule>
  </conditionalFormatting>
  <conditionalFormatting sqref="O103 M103">
    <cfRule type="cellIs" dxfId="292" priority="19" stopIfTrue="1" operator="lessThan">
      <formula>".08-09"</formula>
    </cfRule>
  </conditionalFormatting>
  <conditionalFormatting sqref="M103">
    <cfRule type="cellIs" dxfId="291" priority="18" stopIfTrue="1" operator="lessThan">
      <formula>".08-09"</formula>
    </cfRule>
  </conditionalFormatting>
  <conditionalFormatting sqref="O104">
    <cfRule type="cellIs" dxfId="290" priority="17" stopIfTrue="1" operator="lessThan">
      <formula>".08-09"</formula>
    </cfRule>
  </conditionalFormatting>
  <conditionalFormatting sqref="M104">
    <cfRule type="cellIs" dxfId="289" priority="16" stopIfTrue="1" operator="lessThan">
      <formula>".08-09"</formula>
    </cfRule>
  </conditionalFormatting>
  <conditionalFormatting sqref="M63">
    <cfRule type="cellIs" dxfId="288" priority="15" stopIfTrue="1" operator="lessThan">
      <formula>".08-09"</formula>
    </cfRule>
  </conditionalFormatting>
  <conditionalFormatting sqref="M61 O61">
    <cfRule type="cellIs" dxfId="287" priority="14" stopIfTrue="1" operator="lessThan">
      <formula>".08-09"</formula>
    </cfRule>
  </conditionalFormatting>
  <conditionalFormatting sqref="M10 O10">
    <cfRule type="cellIs" dxfId="286" priority="12" stopIfTrue="1" operator="lessThan">
      <formula>".08-09"</formula>
    </cfRule>
  </conditionalFormatting>
  <conditionalFormatting sqref="M8">
    <cfRule type="cellIs" dxfId="285" priority="8" stopIfTrue="1" operator="lessThan">
      <formula>".08-09"</formula>
    </cfRule>
  </conditionalFormatting>
  <conditionalFormatting sqref="O8">
    <cfRule type="cellIs" dxfId="284" priority="7" stopIfTrue="1" operator="lessThan">
      <formula>".08-09"</formula>
    </cfRule>
  </conditionalFormatting>
  <conditionalFormatting sqref="M53 O53">
    <cfRule type="cellIs" dxfId="283" priority="6" stopIfTrue="1" operator="lessThan">
      <formula>".07-06"</formula>
    </cfRule>
  </conditionalFormatting>
  <conditionalFormatting sqref="O53 M53">
    <cfRule type="cellIs" dxfId="282" priority="5" stopIfTrue="1" operator="lessThan">
      <formula>".07-06"</formula>
    </cfRule>
  </conditionalFormatting>
  <conditionalFormatting sqref="M54 O54">
    <cfRule type="cellIs" dxfId="281" priority="4" stopIfTrue="1" operator="lessThan">
      <formula>".07-06"</formula>
    </cfRule>
  </conditionalFormatting>
  <conditionalFormatting sqref="O50">
    <cfRule type="cellIs" dxfId="280" priority="2" stopIfTrue="1" operator="lessThan">
      <formula>".08-09"</formula>
    </cfRule>
  </conditionalFormatting>
  <conditionalFormatting sqref="M50">
    <cfRule type="cellIs" dxfId="279" priority="3" stopIfTrue="1" operator="lessThan">
      <formula>".07-06"</formula>
    </cfRule>
  </conditionalFormatting>
  <conditionalFormatting sqref="M89">
    <cfRule type="cellIs" dxfId="278" priority="1" stopIfTrue="1" operator="lessThan">
      <formula>".07-06"</formula>
    </cfRule>
  </conditionalFormatting>
  <pageMargins left="0.3" right="0" top="0.5" bottom="0" header="0.59055118110236204" footer="0.511811023622047"/>
  <pageSetup orientation="landscape" r:id="rId1"/>
  <headerFooter alignWithMargins="0">
    <oddHeader>&amp;R&amp;9(&amp;P of &amp;N)</oddHeader>
  </headerFooter>
  <rowBreaks count="2" manualBreakCount="2">
    <brk id="45" max="16383" man="1"/>
    <brk id="83" max="16383" man="1"/>
  </rowBreaks>
  <ignoredErrors>
    <ignoredError sqref="N7:O7 E54:E62 N89:O89 N11:O11 N12 P12 N17:P17 N24:O24 P26 P25 N34:O34 N33 N37:O37 L44:P44 P43 L46:P46 L45 N45:P45 N59:P59 N62:P62 P61 L70:P70 L67:N67 L76:P76 L72:M72 P72 L81:P84 L79 N79:O79 P87 L100:O100 L102 N102:O102 N103 N55:P55 N97:O97 N95:O95 N92:O92 N91:O91 E9 N27:P27 P103:P104 N98:O98 L65:P65 P63 N28:O28 L31:M31 P15 N64:O64 N78:O78 L47:O47 N39:O39 E11:E27 N60:P60 P57:P58 E7 N21:O21 P20 L96:M96 P48:P49 N32:P32 N56:O56 N22:O22 E47:E49 E52 P42 N101:O101 L71:M71 P71 N16:O16" unlockedFormula="1"/>
    <ignoredError sqref="C92:E94 C85:D91 C28" twoDigitTextYear="1"/>
    <ignoredError sqref="P88:P92 P96:P102" numberStoredAsText="1" unlockedFormula="1"/>
    <ignoredError sqref="Q88:T91 Q96:T102 Q92:R92 R95:T95" numberStoredAsText="1"/>
    <ignoredError sqref="E85:E91" twoDigitTextYear="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17"/>
  <sheetViews>
    <sheetView view="pageLayout" zoomScaleNormal="100" workbookViewId="0"/>
  </sheetViews>
  <sheetFormatPr defaultRowHeight="12.6" customHeight="1"/>
  <cols>
    <col min="1" max="1" width="8.7109375" style="55" customWidth="1"/>
    <col min="2" max="2" width="22.140625" style="55" customWidth="1"/>
    <col min="3" max="3" width="6.28515625" style="11" customWidth="1"/>
    <col min="4" max="4" width="6.5703125" style="56" customWidth="1"/>
    <col min="5" max="5" width="6.28515625" style="11" customWidth="1"/>
    <col min="6" max="6" width="4.7109375" style="12" customWidth="1"/>
    <col min="7" max="7" width="4.7109375" style="25" customWidth="1"/>
    <col min="8" max="8" width="4.7109375" style="26" customWidth="1"/>
    <col min="9" max="11" width="4.7109375" style="11" customWidth="1"/>
    <col min="12" max="17" width="5.28515625" style="11" customWidth="1"/>
    <col min="18" max="18" width="7.140625" style="11" customWidth="1"/>
    <col min="19" max="20" width="5.28515625" style="11" customWidth="1"/>
    <col min="21" max="21" width="7.140625" style="11" customWidth="1"/>
    <col min="22" max="22" width="2.7109375" style="5" customWidth="1"/>
    <col min="23" max="23" width="4.85546875" style="5" customWidth="1"/>
    <col min="24" max="24" width="3.42578125" style="5" customWidth="1"/>
    <col min="25" max="16384" width="9.140625" style="5"/>
  </cols>
  <sheetData>
    <row r="1" spans="1:21" ht="12.6" customHeight="1">
      <c r="A1" s="14" t="str">
        <f>i!A1</f>
        <v>Lens$db: Lens Price database</v>
      </c>
      <c r="B1" s="15"/>
      <c r="C1" s="6" t="s">
        <v>16</v>
      </c>
      <c r="D1" s="15" t="s">
        <v>16</v>
      </c>
      <c r="E1" s="6" t="s">
        <v>16</v>
      </c>
      <c r="F1" s="15" t="s">
        <v>16</v>
      </c>
      <c r="G1" s="25" t="s">
        <v>16</v>
      </c>
      <c r="H1" s="26" t="s">
        <v>16</v>
      </c>
      <c r="I1" s="11" t="s">
        <v>16</v>
      </c>
      <c r="J1" s="54" t="s">
        <v>16</v>
      </c>
      <c r="K1" s="11" t="s">
        <v>16</v>
      </c>
      <c r="L1" s="2" t="s">
        <v>16</v>
      </c>
      <c r="M1" s="2" t="s">
        <v>16</v>
      </c>
      <c r="N1" s="2" t="s">
        <v>16</v>
      </c>
      <c r="O1" s="2" t="s">
        <v>16</v>
      </c>
      <c r="P1" s="2" t="s">
        <v>16</v>
      </c>
      <c r="Q1" s="13" t="str">
        <f>i!B3</f>
        <v>.2016-02-01</v>
      </c>
      <c r="R1" s="2"/>
      <c r="S1" s="13"/>
      <c r="T1" s="2" t="s">
        <v>16</v>
      </c>
      <c r="U1" s="2" t="s">
        <v>16</v>
      </c>
    </row>
    <row r="2" spans="1:21" ht="12.6" customHeight="1">
      <c r="A2" s="17" t="str">
        <f>i!A3</f>
        <v>v.30</v>
      </c>
      <c r="B2" s="55" t="s">
        <v>1074</v>
      </c>
      <c r="F2" s="16"/>
      <c r="G2" s="38"/>
      <c r="H2" s="69"/>
      <c r="I2" s="2"/>
      <c r="J2" s="37"/>
      <c r="K2" s="2"/>
      <c r="L2" s="2"/>
      <c r="M2" s="3"/>
      <c r="N2" s="27"/>
      <c r="O2" s="3"/>
      <c r="P2" s="27"/>
      <c r="Q2" s="3"/>
      <c r="R2" s="27"/>
      <c r="S2" s="27"/>
      <c r="T2" s="3"/>
      <c r="U2" s="27"/>
    </row>
    <row r="3" spans="1:21" s="15" customFormat="1" ht="12.6" customHeight="1">
      <c r="A3" s="17" t="s">
        <v>16</v>
      </c>
      <c r="B3" s="15" t="s">
        <v>16</v>
      </c>
      <c r="C3" s="28" t="s">
        <v>16</v>
      </c>
      <c r="D3" s="136" t="s">
        <v>16</v>
      </c>
      <c r="E3" s="28" t="s">
        <v>16</v>
      </c>
      <c r="F3" s="137" t="s">
        <v>16</v>
      </c>
      <c r="G3" s="30" t="s">
        <v>16</v>
      </c>
      <c r="H3" s="30" t="s">
        <v>16</v>
      </c>
      <c r="I3" s="30" t="s">
        <v>16</v>
      </c>
      <c r="J3" s="27" t="s">
        <v>16</v>
      </c>
      <c r="K3" s="30" t="s">
        <v>16</v>
      </c>
      <c r="L3" s="138" t="s">
        <v>16</v>
      </c>
      <c r="M3" s="34" t="s">
        <v>16</v>
      </c>
      <c r="N3" s="34" t="s">
        <v>17</v>
      </c>
      <c r="O3" s="34" t="s">
        <v>16</v>
      </c>
      <c r="P3" s="166" t="s">
        <v>16</v>
      </c>
      <c r="Q3" s="140"/>
      <c r="R3" s="41" t="s">
        <v>18</v>
      </c>
      <c r="S3" s="27"/>
      <c r="T3" s="34" t="s">
        <v>16</v>
      </c>
      <c r="U3" s="43" t="s">
        <v>16</v>
      </c>
    </row>
    <row r="4" spans="1:21" s="17" customFormat="1" ht="12.6" customHeight="1">
      <c r="A4" s="15"/>
      <c r="B4" s="15"/>
      <c r="C4" s="2" t="s">
        <v>6</v>
      </c>
      <c r="D4" s="3" t="s">
        <v>11</v>
      </c>
      <c r="E4" s="16" t="s">
        <v>909</v>
      </c>
      <c r="F4" s="12" t="s">
        <v>13</v>
      </c>
      <c r="G4" s="39" t="s">
        <v>329</v>
      </c>
      <c r="H4" s="69" t="s">
        <v>7</v>
      </c>
      <c r="I4" s="2" t="s">
        <v>380</v>
      </c>
      <c r="J4" s="2" t="s">
        <v>381</v>
      </c>
      <c r="K4" s="41" t="s">
        <v>382</v>
      </c>
      <c r="L4" s="42" t="s">
        <v>576</v>
      </c>
      <c r="M4" s="43"/>
      <c r="N4" s="44" t="s">
        <v>19</v>
      </c>
      <c r="O4" s="27"/>
      <c r="P4" s="47"/>
      <c r="Q4" s="34" t="s">
        <v>577</v>
      </c>
      <c r="R4" s="53"/>
      <c r="S4" s="144"/>
      <c r="T4" s="41" t="s">
        <v>9</v>
      </c>
      <c r="U4" s="41"/>
    </row>
    <row r="5" spans="1:21" s="17" customFormat="1" ht="12.6" customHeight="1">
      <c r="A5" s="48" t="s">
        <v>16</v>
      </c>
      <c r="B5" s="48" t="s">
        <v>16</v>
      </c>
      <c r="C5" s="27" t="s">
        <v>20</v>
      </c>
      <c r="D5" s="64" t="s">
        <v>16</v>
      </c>
      <c r="E5" s="27" t="s">
        <v>16</v>
      </c>
      <c r="F5" s="145" t="s">
        <v>16</v>
      </c>
      <c r="G5" s="50" t="s">
        <v>37</v>
      </c>
      <c r="H5" s="31" t="s">
        <v>21</v>
      </c>
      <c r="I5" s="27" t="s">
        <v>20</v>
      </c>
      <c r="J5" s="27" t="s">
        <v>20</v>
      </c>
      <c r="K5" s="43" t="s">
        <v>20</v>
      </c>
      <c r="L5" s="52" t="s">
        <v>22</v>
      </c>
      <c r="M5" s="43" t="s">
        <v>23</v>
      </c>
      <c r="N5" s="27" t="s">
        <v>22</v>
      </c>
      <c r="O5" s="27" t="s">
        <v>23</v>
      </c>
      <c r="P5" s="52" t="s">
        <v>22</v>
      </c>
      <c r="Q5" s="27" t="s">
        <v>23</v>
      </c>
      <c r="R5" s="43" t="s">
        <v>24</v>
      </c>
      <c r="S5" s="46" t="s">
        <v>22</v>
      </c>
      <c r="T5" s="34" t="s">
        <v>23</v>
      </c>
      <c r="U5" s="53" t="s">
        <v>24</v>
      </c>
    </row>
    <row r="6" spans="1:21" s="17" customFormat="1" ht="12.6" customHeight="1">
      <c r="A6" s="97" t="s">
        <v>1014</v>
      </c>
      <c r="B6" s="98"/>
      <c r="C6" s="34"/>
      <c r="D6" s="99"/>
      <c r="E6" s="34"/>
      <c r="F6" s="100"/>
      <c r="G6" s="101" t="s">
        <v>16</v>
      </c>
      <c r="H6" s="102" t="s">
        <v>16</v>
      </c>
      <c r="I6" s="34" t="s">
        <v>16</v>
      </c>
      <c r="J6" s="34" t="s">
        <v>16</v>
      </c>
      <c r="K6" s="34" t="s">
        <v>16</v>
      </c>
      <c r="L6" s="34" t="s">
        <v>16</v>
      </c>
      <c r="M6" s="34" t="s">
        <v>16</v>
      </c>
      <c r="N6" s="34" t="s">
        <v>16</v>
      </c>
      <c r="O6" s="34" t="s">
        <v>16</v>
      </c>
      <c r="P6" s="34" t="s">
        <v>16</v>
      </c>
      <c r="Q6" s="34" t="s">
        <v>16</v>
      </c>
      <c r="R6" s="34" t="s">
        <v>16</v>
      </c>
      <c r="S6" s="34" t="s">
        <v>16</v>
      </c>
      <c r="T6" s="34" t="s">
        <v>16</v>
      </c>
      <c r="U6" s="34" t="s">
        <v>16</v>
      </c>
    </row>
    <row r="7" spans="1:21" ht="12.6" customHeight="1">
      <c r="A7" s="66" t="s">
        <v>34</v>
      </c>
      <c r="B7" s="37" t="s">
        <v>1017</v>
      </c>
      <c r="C7" s="2">
        <v>21</v>
      </c>
      <c r="D7" s="3">
        <v>2.8</v>
      </c>
      <c r="E7" s="2">
        <f t="shared" ref="E7" si="0">1.6*C7</f>
        <v>33.6</v>
      </c>
      <c r="F7" s="167" t="s">
        <v>815</v>
      </c>
      <c r="G7" s="68">
        <v>0.22</v>
      </c>
      <c r="H7" s="69">
        <v>0.85099999999999998</v>
      </c>
      <c r="I7" s="2">
        <v>95</v>
      </c>
      <c r="J7" s="2">
        <v>95.5</v>
      </c>
      <c r="K7" s="3">
        <v>82</v>
      </c>
      <c r="L7" s="58">
        <f t="shared" ref="L7:L12" si="1">AVERAGE(0)</f>
        <v>0</v>
      </c>
      <c r="M7" s="16" t="s">
        <v>16</v>
      </c>
      <c r="N7" s="58">
        <f t="shared" ref="N7" si="2">AVERAGE(0)</f>
        <v>0</v>
      </c>
      <c r="O7" s="16" t="s">
        <v>16</v>
      </c>
      <c r="P7" s="58" t="s">
        <v>16</v>
      </c>
      <c r="Q7" s="2" t="s">
        <v>16</v>
      </c>
      <c r="R7" s="41" t="s">
        <v>16</v>
      </c>
      <c r="S7" s="147">
        <v>1843</v>
      </c>
      <c r="T7" s="2" t="s">
        <v>1027</v>
      </c>
      <c r="U7" s="41" t="s">
        <v>32</v>
      </c>
    </row>
    <row r="8" spans="1:21" ht="12.6" customHeight="1">
      <c r="A8" s="66" t="s">
        <v>34</v>
      </c>
      <c r="B8" s="37" t="s">
        <v>1016</v>
      </c>
      <c r="C8" s="2">
        <v>35</v>
      </c>
      <c r="D8" s="3">
        <v>2</v>
      </c>
      <c r="E8" s="2">
        <f t="shared" ref="E8" si="3">1.6*C8</f>
        <v>56</v>
      </c>
      <c r="F8" s="167" t="s">
        <v>815</v>
      </c>
      <c r="G8" s="68">
        <v>0.3</v>
      </c>
      <c r="H8" s="69">
        <v>0.70199999999999996</v>
      </c>
      <c r="I8" s="2">
        <v>83</v>
      </c>
      <c r="J8" s="2">
        <v>77</v>
      </c>
      <c r="K8" s="3">
        <v>58</v>
      </c>
      <c r="L8" s="58">
        <f t="shared" si="1"/>
        <v>0</v>
      </c>
      <c r="M8" s="16" t="s">
        <v>16</v>
      </c>
      <c r="N8" s="147">
        <f>AVERAGE(1117,962)</f>
        <v>1039.5</v>
      </c>
      <c r="O8" s="16" t="s">
        <v>1047</v>
      </c>
      <c r="P8" s="58" t="s">
        <v>16</v>
      </c>
      <c r="Q8" s="2" t="s">
        <v>16</v>
      </c>
      <c r="R8" s="41" t="s">
        <v>16</v>
      </c>
      <c r="S8" s="58">
        <v>1045</v>
      </c>
      <c r="T8" s="2" t="s">
        <v>1072</v>
      </c>
      <c r="U8" s="41" t="s">
        <v>33</v>
      </c>
    </row>
    <row r="9" spans="1:21" ht="12.6" customHeight="1">
      <c r="A9" s="66" t="s">
        <v>34</v>
      </c>
      <c r="B9" s="37" t="s">
        <v>1018</v>
      </c>
      <c r="C9" s="2">
        <v>50</v>
      </c>
      <c r="D9" s="3">
        <v>1.4</v>
      </c>
      <c r="E9" s="2">
        <f>1.6*C9</f>
        <v>80</v>
      </c>
      <c r="F9" s="167" t="s">
        <v>815</v>
      </c>
      <c r="G9" s="68">
        <v>0.45</v>
      </c>
      <c r="H9" s="69">
        <v>0.92200000000000004</v>
      </c>
      <c r="I9" s="2">
        <v>97.5</v>
      </c>
      <c r="J9" s="2">
        <v>82.5</v>
      </c>
      <c r="K9" s="3">
        <v>67</v>
      </c>
      <c r="L9" s="58">
        <f t="shared" si="1"/>
        <v>0</v>
      </c>
      <c r="M9" s="16" t="s">
        <v>16</v>
      </c>
      <c r="N9" s="147">
        <f>AVERAGE(1200)</f>
        <v>1200</v>
      </c>
      <c r="O9" s="16" t="s">
        <v>1045</v>
      </c>
      <c r="P9" s="58" t="s">
        <v>16</v>
      </c>
      <c r="Q9" s="2" t="s">
        <v>16</v>
      </c>
      <c r="R9" s="41" t="s">
        <v>16</v>
      </c>
      <c r="S9" s="147">
        <v>1200</v>
      </c>
      <c r="T9" s="2" t="s">
        <v>1027</v>
      </c>
      <c r="U9" s="41" t="s">
        <v>32</v>
      </c>
    </row>
    <row r="10" spans="1:21" ht="12.6" customHeight="1">
      <c r="A10" s="66" t="s">
        <v>34</v>
      </c>
      <c r="B10" s="37" t="s">
        <v>1019</v>
      </c>
      <c r="C10" s="2">
        <v>50</v>
      </c>
      <c r="D10" s="3">
        <v>2</v>
      </c>
      <c r="E10" s="2">
        <f>1.6*C10</f>
        <v>80</v>
      </c>
      <c r="F10" s="167" t="s">
        <v>815</v>
      </c>
      <c r="G10" s="68">
        <v>0.24</v>
      </c>
      <c r="H10" s="69">
        <v>0.73</v>
      </c>
      <c r="I10" s="2">
        <v>75</v>
      </c>
      <c r="J10" s="2">
        <v>81</v>
      </c>
      <c r="K10" s="3">
        <v>67</v>
      </c>
      <c r="L10" s="58">
        <f t="shared" si="1"/>
        <v>0</v>
      </c>
      <c r="M10" s="16" t="s">
        <v>16</v>
      </c>
      <c r="N10" s="147">
        <f>AVERAGE(1297)</f>
        <v>1297</v>
      </c>
      <c r="O10" s="16" t="s">
        <v>1045</v>
      </c>
      <c r="P10" s="58" t="s">
        <v>16</v>
      </c>
      <c r="Q10" s="2" t="s">
        <v>16</v>
      </c>
      <c r="R10" s="41" t="s">
        <v>16</v>
      </c>
      <c r="S10" s="147">
        <v>1283</v>
      </c>
      <c r="T10" s="2" t="s">
        <v>1027</v>
      </c>
      <c r="U10" s="41" t="s">
        <v>32</v>
      </c>
    </row>
    <row r="11" spans="1:21" ht="12.6" customHeight="1">
      <c r="A11" s="66" t="s">
        <v>34</v>
      </c>
      <c r="B11" s="37" t="s">
        <v>1020</v>
      </c>
      <c r="C11" s="2">
        <v>85</v>
      </c>
      <c r="D11" s="3">
        <v>1.4</v>
      </c>
      <c r="E11" s="2">
        <f>1.6*C11</f>
        <v>136</v>
      </c>
      <c r="F11" s="167" t="s">
        <v>815</v>
      </c>
      <c r="G11" s="68">
        <v>0.8</v>
      </c>
      <c r="H11" s="69">
        <v>1.28</v>
      </c>
      <c r="I11" s="2">
        <v>113</v>
      </c>
      <c r="J11" s="2">
        <v>90</v>
      </c>
      <c r="K11" s="3">
        <v>77</v>
      </c>
      <c r="L11" s="58">
        <f t="shared" si="1"/>
        <v>0</v>
      </c>
      <c r="M11" s="16" t="s">
        <v>16</v>
      </c>
      <c r="N11" s="147">
        <f>AVERAGE(1799,1749,1784)</f>
        <v>1777.3333333333333</v>
      </c>
      <c r="O11" s="16" t="s">
        <v>1072</v>
      </c>
      <c r="P11" s="58" t="s">
        <v>16</v>
      </c>
      <c r="Q11" s="2" t="s">
        <v>16</v>
      </c>
      <c r="R11" s="41" t="s">
        <v>16</v>
      </c>
      <c r="S11" s="147">
        <v>1800</v>
      </c>
      <c r="T11" s="2" t="s">
        <v>1027</v>
      </c>
      <c r="U11" s="41" t="s">
        <v>32</v>
      </c>
    </row>
    <row r="12" spans="1:21" ht="12.6" customHeight="1">
      <c r="A12" s="66" t="s">
        <v>34</v>
      </c>
      <c r="B12" s="37" t="s">
        <v>1021</v>
      </c>
      <c r="C12" s="2">
        <v>100</v>
      </c>
      <c r="D12" s="3">
        <v>2</v>
      </c>
      <c r="E12" s="2">
        <f t="shared" ref="E12" si="4">1.6*C12</f>
        <v>160</v>
      </c>
      <c r="F12" s="167" t="s">
        <v>815</v>
      </c>
      <c r="G12" s="68">
        <v>0.44</v>
      </c>
      <c r="H12" s="69">
        <v>0.84299999999999997</v>
      </c>
      <c r="I12" s="2">
        <v>104</v>
      </c>
      <c r="J12" s="2">
        <v>80.5</v>
      </c>
      <c r="K12" s="3">
        <v>67</v>
      </c>
      <c r="L12" s="58">
        <f t="shared" si="1"/>
        <v>0</v>
      </c>
      <c r="M12" s="16" t="s">
        <v>16</v>
      </c>
      <c r="N12" s="147">
        <f>AVERAGE(1843)</f>
        <v>1843</v>
      </c>
      <c r="O12" s="16" t="s">
        <v>1047</v>
      </c>
      <c r="P12" s="58" t="s">
        <v>16</v>
      </c>
      <c r="Q12" s="2" t="s">
        <v>16</v>
      </c>
      <c r="R12" s="41" t="s">
        <v>16</v>
      </c>
      <c r="S12" s="147">
        <v>1843</v>
      </c>
      <c r="T12" s="2" t="s">
        <v>1027</v>
      </c>
      <c r="U12" s="41" t="s">
        <v>32</v>
      </c>
    </row>
    <row r="13" spans="1:21" s="17" customFormat="1" ht="12.6" customHeight="1">
      <c r="A13" s="97" t="s">
        <v>1015</v>
      </c>
      <c r="B13" s="98"/>
      <c r="C13" s="34"/>
      <c r="D13" s="99"/>
      <c r="E13" s="34"/>
      <c r="F13" s="100"/>
      <c r="G13" s="101" t="s">
        <v>16</v>
      </c>
      <c r="H13" s="102" t="s">
        <v>16</v>
      </c>
      <c r="I13" s="34" t="s">
        <v>16</v>
      </c>
      <c r="J13" s="34" t="s">
        <v>16</v>
      </c>
      <c r="K13" s="34" t="s">
        <v>16</v>
      </c>
      <c r="L13" s="34" t="s">
        <v>16</v>
      </c>
      <c r="M13" s="34" t="s">
        <v>16</v>
      </c>
      <c r="N13" s="34" t="s">
        <v>16</v>
      </c>
      <c r="O13" s="34" t="s">
        <v>16</v>
      </c>
      <c r="P13" s="34" t="s">
        <v>16</v>
      </c>
      <c r="Q13" s="34" t="s">
        <v>16</v>
      </c>
      <c r="R13" s="34" t="s">
        <v>16</v>
      </c>
      <c r="S13" s="34" t="s">
        <v>16</v>
      </c>
      <c r="T13" s="34" t="s">
        <v>16</v>
      </c>
      <c r="U13" s="34" t="s">
        <v>16</v>
      </c>
    </row>
    <row r="14" spans="1:21" ht="12.6" customHeight="1">
      <c r="A14" s="66" t="s">
        <v>34</v>
      </c>
      <c r="B14" s="37" t="s">
        <v>1029</v>
      </c>
      <c r="C14" s="2">
        <v>28</v>
      </c>
      <c r="D14" s="3">
        <v>1.4</v>
      </c>
      <c r="E14" s="2">
        <f t="shared" ref="E14" si="5">1.6*C14</f>
        <v>44.800000000000004</v>
      </c>
      <c r="F14" s="167" t="s">
        <v>815</v>
      </c>
      <c r="G14" s="68">
        <v>0.3</v>
      </c>
      <c r="H14" s="69">
        <v>1.39</v>
      </c>
      <c r="I14" s="2">
        <v>137</v>
      </c>
      <c r="J14" s="2">
        <v>108.9</v>
      </c>
      <c r="K14" s="3">
        <v>95</v>
      </c>
      <c r="L14" s="58" t="s">
        <v>16</v>
      </c>
      <c r="M14" s="2" t="s">
        <v>16</v>
      </c>
      <c r="N14" s="147" t="s">
        <v>16</v>
      </c>
      <c r="O14" s="16" t="s">
        <v>16</v>
      </c>
      <c r="P14" s="58" t="s">
        <v>16</v>
      </c>
      <c r="Q14" s="2" t="s">
        <v>16</v>
      </c>
      <c r="R14" s="41" t="s">
        <v>16</v>
      </c>
      <c r="S14" s="58" t="s">
        <v>16</v>
      </c>
      <c r="T14" s="2" t="s">
        <v>16</v>
      </c>
      <c r="U14" s="41" t="s">
        <v>16</v>
      </c>
    </row>
    <row r="15" spans="1:21" ht="12.6" customHeight="1">
      <c r="A15" s="66" t="s">
        <v>34</v>
      </c>
      <c r="B15" s="37" t="s">
        <v>876</v>
      </c>
      <c r="C15" s="2">
        <v>55</v>
      </c>
      <c r="D15" s="3">
        <v>1.4</v>
      </c>
      <c r="E15" s="2">
        <f t="shared" ref="E15" si="6">1.6*C15</f>
        <v>88</v>
      </c>
      <c r="F15" s="167" t="s">
        <v>815</v>
      </c>
      <c r="G15" s="68">
        <v>0.5</v>
      </c>
      <c r="H15" s="69">
        <v>1.03</v>
      </c>
      <c r="I15" s="2">
        <v>127.3</v>
      </c>
      <c r="J15" s="2">
        <v>92.4</v>
      </c>
      <c r="K15" s="3">
        <v>77</v>
      </c>
      <c r="L15" s="58">
        <f>AVERAGE(2483,2501)</f>
        <v>2492</v>
      </c>
      <c r="M15" s="2" t="s">
        <v>1072</v>
      </c>
      <c r="N15" s="58">
        <f>AVERAGE(3040,3062,3088,2900)</f>
        <v>3022.5</v>
      </c>
      <c r="O15" s="16" t="s">
        <v>1072</v>
      </c>
      <c r="P15" s="58">
        <v>3270</v>
      </c>
      <c r="Q15" s="2" t="s">
        <v>1072</v>
      </c>
      <c r="R15" s="41" t="s">
        <v>906</v>
      </c>
      <c r="S15" s="58">
        <v>3500</v>
      </c>
      <c r="T15" s="2" t="s">
        <v>981</v>
      </c>
      <c r="U15" s="41" t="s">
        <v>33</v>
      </c>
    </row>
    <row r="16" spans="1:21" ht="12.6" customHeight="1">
      <c r="A16" s="66" t="s">
        <v>34</v>
      </c>
      <c r="B16" s="37" t="s">
        <v>968</v>
      </c>
      <c r="C16" s="2">
        <v>85</v>
      </c>
      <c r="D16" s="3">
        <v>1.4</v>
      </c>
      <c r="E16" s="2">
        <f>1.6*C16</f>
        <v>136</v>
      </c>
      <c r="F16" s="167" t="s">
        <v>815</v>
      </c>
      <c r="G16" s="68">
        <v>0.8</v>
      </c>
      <c r="H16" s="69">
        <v>1.2</v>
      </c>
      <c r="I16" s="2">
        <v>124</v>
      </c>
      <c r="J16" s="2">
        <v>101</v>
      </c>
      <c r="K16" s="3">
        <v>86</v>
      </c>
      <c r="L16" s="58">
        <f>AVERAGE(3181,3204,3329)</f>
        <v>3238</v>
      </c>
      <c r="M16" s="16" t="s">
        <v>1072</v>
      </c>
      <c r="N16" s="58">
        <f>AVERAGE(3306,3516,3541,3360)</f>
        <v>3430.75</v>
      </c>
      <c r="O16" s="16" t="s">
        <v>1072</v>
      </c>
      <c r="P16" s="58" t="s">
        <v>16</v>
      </c>
      <c r="Q16" s="2" t="s">
        <v>16</v>
      </c>
      <c r="R16" s="41" t="s">
        <v>16</v>
      </c>
      <c r="S16" s="58">
        <v>3650</v>
      </c>
      <c r="T16" s="2" t="s">
        <v>1072</v>
      </c>
      <c r="U16" s="41" t="s">
        <v>906</v>
      </c>
    </row>
    <row r="17" spans="1:21" s="17" customFormat="1" ht="12.6" customHeight="1">
      <c r="A17" s="97" t="s">
        <v>415</v>
      </c>
      <c r="B17" s="98"/>
      <c r="C17" s="34"/>
      <c r="D17" s="99"/>
      <c r="E17" s="34"/>
      <c r="F17" s="100"/>
      <c r="G17" s="101" t="s">
        <v>16</v>
      </c>
      <c r="H17" s="102" t="s">
        <v>16</v>
      </c>
      <c r="I17" s="34" t="s">
        <v>16</v>
      </c>
      <c r="J17" s="34" t="s">
        <v>16</v>
      </c>
      <c r="K17" s="34" t="s">
        <v>16</v>
      </c>
      <c r="L17" s="34" t="s">
        <v>16</v>
      </c>
      <c r="M17" s="34" t="s">
        <v>16</v>
      </c>
      <c r="N17" s="34" t="s">
        <v>16</v>
      </c>
      <c r="O17" s="34" t="s">
        <v>16</v>
      </c>
      <c r="P17" s="34" t="s">
        <v>16</v>
      </c>
      <c r="Q17" s="34" t="s">
        <v>16</v>
      </c>
      <c r="R17" s="34" t="s">
        <v>16</v>
      </c>
      <c r="S17" s="34" t="s">
        <v>16</v>
      </c>
      <c r="T17" s="34" t="s">
        <v>16</v>
      </c>
      <c r="U17" s="34" t="s">
        <v>16</v>
      </c>
    </row>
    <row r="18" spans="1:21" ht="12.6" customHeight="1">
      <c r="A18" s="66" t="s">
        <v>34</v>
      </c>
      <c r="B18" s="37" t="s">
        <v>953</v>
      </c>
      <c r="C18" s="2">
        <v>15</v>
      </c>
      <c r="D18" s="3">
        <v>2.8</v>
      </c>
      <c r="E18" s="2">
        <f t="shared" ref="E18" si="7">1.6*C18</f>
        <v>24</v>
      </c>
      <c r="F18" s="167" t="s">
        <v>815</v>
      </c>
      <c r="G18" s="68">
        <v>0.25</v>
      </c>
      <c r="H18" s="69">
        <v>0.82</v>
      </c>
      <c r="I18" s="2">
        <v>116</v>
      </c>
      <c r="J18" s="2">
        <v>103</v>
      </c>
      <c r="K18" s="3">
        <v>95</v>
      </c>
      <c r="L18" s="58">
        <f>AVERAGE(1878,1705,1999,2198,2376,2054)</f>
        <v>2035</v>
      </c>
      <c r="M18" s="2" t="s">
        <v>1010</v>
      </c>
      <c r="N18" s="58">
        <f>AVERAGE(2376,2500,2800,2600)</f>
        <v>2569</v>
      </c>
      <c r="O18" s="16" t="s">
        <v>970</v>
      </c>
      <c r="P18" s="58">
        <v>1750</v>
      </c>
      <c r="Q18" s="2" t="s">
        <v>1072</v>
      </c>
      <c r="R18" s="41" t="s">
        <v>906</v>
      </c>
      <c r="S18" s="147">
        <f>3305*CA.US</f>
        <v>2313.5</v>
      </c>
      <c r="T18" s="2" t="s">
        <v>981</v>
      </c>
      <c r="U18" s="41" t="s">
        <v>418</v>
      </c>
    </row>
    <row r="19" spans="1:21" ht="12.6" customHeight="1">
      <c r="A19" s="66" t="s">
        <v>34</v>
      </c>
      <c r="B19" s="37" t="s">
        <v>400</v>
      </c>
      <c r="C19" s="2">
        <v>18</v>
      </c>
      <c r="D19" s="3">
        <v>3.5</v>
      </c>
      <c r="E19" s="2">
        <f t="shared" ref="E19:E29" si="8">1.6*C19</f>
        <v>28.8</v>
      </c>
      <c r="F19" s="167" t="s">
        <v>815</v>
      </c>
      <c r="G19" s="68">
        <v>0.3</v>
      </c>
      <c r="H19" s="69">
        <v>0.51</v>
      </c>
      <c r="I19" s="2">
        <v>61</v>
      </c>
      <c r="J19" s="2">
        <v>87</v>
      </c>
      <c r="K19" s="3">
        <v>82</v>
      </c>
      <c r="L19" s="58">
        <f>AVERAGE(799,750,797,710,810,860,825,850,777)</f>
        <v>797.55555555555554</v>
      </c>
      <c r="M19" s="16" t="s">
        <v>1072</v>
      </c>
      <c r="N19" s="58">
        <f>AVERAGE(900,1053,1283,1000,1100,1052,1097,1200,1050,1088,1000)</f>
        <v>1074.8181818181818</v>
      </c>
      <c r="O19" s="16" t="s">
        <v>1072</v>
      </c>
      <c r="P19" s="58">
        <v>850</v>
      </c>
      <c r="Q19" s="2" t="s">
        <v>1072</v>
      </c>
      <c r="R19" s="41" t="s">
        <v>906</v>
      </c>
      <c r="S19" s="58">
        <v>1000</v>
      </c>
      <c r="T19" s="2" t="s">
        <v>1072</v>
      </c>
      <c r="U19" s="41" t="s">
        <v>32</v>
      </c>
    </row>
    <row r="20" spans="1:21" ht="12.6" customHeight="1">
      <c r="A20" s="66" t="s">
        <v>34</v>
      </c>
      <c r="B20" s="37" t="s">
        <v>320</v>
      </c>
      <c r="C20" s="2">
        <v>21</v>
      </c>
      <c r="D20" s="3">
        <v>2.8</v>
      </c>
      <c r="E20" s="2">
        <f t="shared" si="8"/>
        <v>33.6</v>
      </c>
      <c r="F20" s="167" t="s">
        <v>815</v>
      </c>
      <c r="G20" s="68">
        <v>0.22</v>
      </c>
      <c r="H20" s="69">
        <v>0.72</v>
      </c>
      <c r="I20" s="2">
        <v>87</v>
      </c>
      <c r="J20" s="2">
        <v>87</v>
      </c>
      <c r="K20" s="3">
        <v>82</v>
      </c>
      <c r="L20" s="58">
        <f>AVERAGE(780,838,1000,1050,845,1125,997,1100)</f>
        <v>966.875</v>
      </c>
      <c r="M20" s="16" t="s">
        <v>1045</v>
      </c>
      <c r="N20" s="58">
        <f>AVERAGE(1311,1567,1499,1397,1327,1400,1499,1550,1524)</f>
        <v>1452.6666666666667</v>
      </c>
      <c r="O20" s="16" t="s">
        <v>996</v>
      </c>
      <c r="P20" s="58">
        <v>1170</v>
      </c>
      <c r="Q20" s="2" t="s">
        <v>1072</v>
      </c>
      <c r="R20" s="41" t="s">
        <v>30</v>
      </c>
      <c r="S20" s="58">
        <v>1125</v>
      </c>
      <c r="T20" s="2" t="s">
        <v>1072</v>
      </c>
      <c r="U20" s="41" t="s">
        <v>29</v>
      </c>
    </row>
    <row r="21" spans="1:21" ht="12.6" customHeight="1">
      <c r="A21" s="66" t="s">
        <v>34</v>
      </c>
      <c r="B21" s="37" t="s">
        <v>580</v>
      </c>
      <c r="C21" s="2">
        <v>25</v>
      </c>
      <c r="D21" s="3">
        <v>2</v>
      </c>
      <c r="E21" s="2">
        <f>1.6*C21</f>
        <v>40</v>
      </c>
      <c r="F21" s="167" t="s">
        <v>815</v>
      </c>
      <c r="G21" s="68">
        <v>0.25</v>
      </c>
      <c r="H21" s="69">
        <v>0.6</v>
      </c>
      <c r="I21" s="2">
        <v>74</v>
      </c>
      <c r="J21" s="2">
        <v>73</v>
      </c>
      <c r="K21" s="3">
        <v>67</v>
      </c>
      <c r="L21" s="58">
        <f>AVERAGE(863,880,900,1000,950,760,920,1026)</f>
        <v>912.375</v>
      </c>
      <c r="M21" s="16" t="s">
        <v>1072</v>
      </c>
      <c r="N21" s="58">
        <f>AVERAGE(1025,975,1250,1299)</f>
        <v>1137.25</v>
      </c>
      <c r="O21" s="16" t="s">
        <v>1045</v>
      </c>
      <c r="P21" s="58">
        <v>875</v>
      </c>
      <c r="Q21" s="2" t="s">
        <v>1045</v>
      </c>
      <c r="R21" s="41" t="s">
        <v>906</v>
      </c>
      <c r="S21" s="58">
        <v>1250</v>
      </c>
      <c r="T21" s="2" t="s">
        <v>1072</v>
      </c>
      <c r="U21" s="41" t="s">
        <v>32</v>
      </c>
    </row>
    <row r="22" spans="1:21" ht="12.6" customHeight="1">
      <c r="A22" s="66" t="s">
        <v>34</v>
      </c>
      <c r="B22" s="37" t="s">
        <v>429</v>
      </c>
      <c r="C22" s="2">
        <v>28</v>
      </c>
      <c r="D22" s="3">
        <v>2</v>
      </c>
      <c r="E22" s="2">
        <f t="shared" si="8"/>
        <v>44.800000000000004</v>
      </c>
      <c r="F22" s="167" t="s">
        <v>815</v>
      </c>
      <c r="G22" s="68">
        <v>0.24</v>
      </c>
      <c r="H22" s="69">
        <v>0.57999999999999996</v>
      </c>
      <c r="I22" s="2">
        <v>72</v>
      </c>
      <c r="J22" s="2">
        <v>64</v>
      </c>
      <c r="K22" s="3">
        <v>58</v>
      </c>
      <c r="L22" s="58">
        <f>AVERAGE(520,665,665,795,576,710,760,875,740,800,741,670)</f>
        <v>709.75</v>
      </c>
      <c r="M22" s="16" t="s">
        <v>981</v>
      </c>
      <c r="N22" s="58">
        <f>AVERAGE(950,907,1128,950,917,887,850,1017,949,860)</f>
        <v>941.5</v>
      </c>
      <c r="O22" s="16" t="s">
        <v>981</v>
      </c>
      <c r="P22" s="58">
        <v>810</v>
      </c>
      <c r="Q22" s="2" t="s">
        <v>1072</v>
      </c>
      <c r="R22" s="41" t="s">
        <v>906</v>
      </c>
      <c r="S22" s="58">
        <v>880</v>
      </c>
      <c r="T22" s="2" t="s">
        <v>1072</v>
      </c>
      <c r="U22" s="41" t="s">
        <v>32</v>
      </c>
    </row>
    <row r="23" spans="1:21" ht="12.6" customHeight="1">
      <c r="A23" s="66" t="s">
        <v>34</v>
      </c>
      <c r="B23" s="37" t="s">
        <v>566</v>
      </c>
      <c r="C23" s="2">
        <v>35</v>
      </c>
      <c r="D23" s="3">
        <v>1.4</v>
      </c>
      <c r="E23" s="2">
        <f>1.6*C23</f>
        <v>56</v>
      </c>
      <c r="F23" s="167" t="s">
        <v>815</v>
      </c>
      <c r="G23" s="68">
        <v>0.3</v>
      </c>
      <c r="H23" s="69">
        <v>0.85</v>
      </c>
      <c r="I23" s="2">
        <v>98</v>
      </c>
      <c r="J23" s="2">
        <v>78</v>
      </c>
      <c r="K23" s="3">
        <v>72</v>
      </c>
      <c r="L23" s="58">
        <f>AVERAGE(1218,975,1260,1274,1364,1350,1350,1249,1178)</f>
        <v>1246.4444444444443</v>
      </c>
      <c r="M23" s="16" t="s">
        <v>1072</v>
      </c>
      <c r="N23" s="58">
        <f>AVERAGE(1489,1430,1525,1400,1487,1668,1550)</f>
        <v>1507</v>
      </c>
      <c r="O23" s="16" t="s">
        <v>1045</v>
      </c>
      <c r="P23" s="58">
        <v>1250</v>
      </c>
      <c r="Q23" s="2" t="s">
        <v>1072</v>
      </c>
      <c r="R23" s="41" t="s">
        <v>32</v>
      </c>
      <c r="S23" s="58">
        <v>1300</v>
      </c>
      <c r="T23" s="2" t="s">
        <v>1072</v>
      </c>
      <c r="U23" s="41" t="s">
        <v>32</v>
      </c>
    </row>
    <row r="24" spans="1:21" ht="12.6" customHeight="1">
      <c r="A24" s="66" t="s">
        <v>34</v>
      </c>
      <c r="B24" s="37" t="s">
        <v>430</v>
      </c>
      <c r="C24" s="2">
        <v>35</v>
      </c>
      <c r="D24" s="3">
        <v>2</v>
      </c>
      <c r="E24" s="2">
        <f t="shared" si="8"/>
        <v>56</v>
      </c>
      <c r="F24" s="167" t="s">
        <v>815</v>
      </c>
      <c r="G24" s="68">
        <v>0.3</v>
      </c>
      <c r="H24" s="69">
        <v>0.56999999999999995</v>
      </c>
      <c r="I24" s="2">
        <v>75</v>
      </c>
      <c r="J24" s="2">
        <v>72.7</v>
      </c>
      <c r="K24" s="3">
        <v>58</v>
      </c>
      <c r="L24" s="58">
        <f>AVERAGE(695,575,535,638,625,715,512,699,660,589,699)</f>
        <v>631.09090909090912</v>
      </c>
      <c r="M24" s="16" t="s">
        <v>1072</v>
      </c>
      <c r="N24" s="58">
        <f>AVERAGE(700,880,791,760,850,751,878,810,789,897)</f>
        <v>810.6</v>
      </c>
      <c r="O24" s="16" t="s">
        <v>967</v>
      </c>
      <c r="P24" s="58">
        <v>720</v>
      </c>
      <c r="Q24" s="2" t="s">
        <v>1072</v>
      </c>
      <c r="R24" s="41" t="s">
        <v>32</v>
      </c>
      <c r="S24" s="58">
        <v>750</v>
      </c>
      <c r="T24" s="2" t="s">
        <v>1072</v>
      </c>
      <c r="U24" s="41" t="s">
        <v>906</v>
      </c>
    </row>
    <row r="25" spans="1:21" ht="12.6" customHeight="1">
      <c r="A25" s="66" t="s">
        <v>34</v>
      </c>
      <c r="B25" s="37" t="s">
        <v>321</v>
      </c>
      <c r="C25" s="2">
        <v>50</v>
      </c>
      <c r="D25" s="3">
        <v>1.4</v>
      </c>
      <c r="E25" s="2">
        <f>1.6*C25</f>
        <v>80</v>
      </c>
      <c r="F25" s="167" t="s">
        <v>815</v>
      </c>
      <c r="G25" s="68">
        <v>0.45</v>
      </c>
      <c r="H25" s="69">
        <v>0.38</v>
      </c>
      <c r="I25" s="2">
        <v>48</v>
      </c>
      <c r="J25" s="2">
        <v>71.3</v>
      </c>
      <c r="K25" s="3">
        <v>58</v>
      </c>
      <c r="L25" s="58">
        <f>AVERAGE(400,398,321,405,320,450,393,452,382,410,431,437)</f>
        <v>399.91666666666669</v>
      </c>
      <c r="M25" s="16" t="s">
        <v>1072</v>
      </c>
      <c r="N25" s="58">
        <f>AVERAGE(468,499,550,525,548,548,600,548,525,575)</f>
        <v>538.6</v>
      </c>
      <c r="O25" s="16" t="s">
        <v>1013</v>
      </c>
      <c r="P25" s="58">
        <v>500</v>
      </c>
      <c r="Q25" s="2" t="s">
        <v>1072</v>
      </c>
      <c r="R25" s="41" t="s">
        <v>32</v>
      </c>
      <c r="S25" s="58">
        <v>395</v>
      </c>
      <c r="T25" s="2" t="s">
        <v>1072</v>
      </c>
      <c r="U25" s="41" t="s">
        <v>28</v>
      </c>
    </row>
    <row r="26" spans="1:21" ht="12.6" customHeight="1">
      <c r="A26" s="66" t="s">
        <v>34</v>
      </c>
      <c r="B26" s="37" t="s">
        <v>565</v>
      </c>
      <c r="C26" s="2">
        <v>50</v>
      </c>
      <c r="D26" s="3">
        <v>2</v>
      </c>
      <c r="E26" s="2">
        <f>1.6*C26</f>
        <v>80</v>
      </c>
      <c r="F26" s="167" t="s">
        <v>815</v>
      </c>
      <c r="G26" s="68">
        <v>0.24</v>
      </c>
      <c r="H26" s="69">
        <v>0.56999999999999995</v>
      </c>
      <c r="I26" s="2">
        <v>67</v>
      </c>
      <c r="J26" s="2">
        <v>75.400000000000006</v>
      </c>
      <c r="K26" s="3">
        <v>67</v>
      </c>
      <c r="L26" s="58">
        <f>AVERAGE(650,642,770,750,700,750,788,724)</f>
        <v>721.75</v>
      </c>
      <c r="M26" s="16" t="s">
        <v>1072</v>
      </c>
      <c r="N26" s="58">
        <f>AVERAGE(899,900,795,760,1060,899,966,1148,927,910,900)</f>
        <v>924</v>
      </c>
      <c r="O26" s="16" t="s">
        <v>1033</v>
      </c>
      <c r="P26" s="58">
        <v>792</v>
      </c>
      <c r="Q26" s="2" t="s">
        <v>1072</v>
      </c>
      <c r="R26" s="41" t="s">
        <v>30</v>
      </c>
      <c r="S26" s="58">
        <v>800</v>
      </c>
      <c r="T26" s="2" t="s">
        <v>1045</v>
      </c>
      <c r="U26" s="41" t="s">
        <v>33</v>
      </c>
    </row>
    <row r="27" spans="1:21" ht="12.6" customHeight="1">
      <c r="A27" s="66" t="s">
        <v>34</v>
      </c>
      <c r="B27" s="37" t="s">
        <v>319</v>
      </c>
      <c r="C27" s="2">
        <v>85</v>
      </c>
      <c r="D27" s="3">
        <v>1.4</v>
      </c>
      <c r="E27" s="2">
        <f>1.6*C27</f>
        <v>136</v>
      </c>
      <c r="F27" s="167" t="s">
        <v>815</v>
      </c>
      <c r="G27" s="68">
        <v>1</v>
      </c>
      <c r="H27" s="69">
        <v>0.67</v>
      </c>
      <c r="I27" s="2">
        <v>65</v>
      </c>
      <c r="J27" s="2">
        <v>78</v>
      </c>
      <c r="K27" s="3">
        <v>72</v>
      </c>
      <c r="L27" s="58">
        <f>AVERAGE(740,689,630,667,699,699,660,636,715,700,646)</f>
        <v>680.09090909090912</v>
      </c>
      <c r="M27" s="16" t="s">
        <v>1072</v>
      </c>
      <c r="N27" s="58">
        <f>AVERAGE(875,895,860,810,1172,910,1000,925,995,964)</f>
        <v>940.6</v>
      </c>
      <c r="O27" s="16" t="s">
        <v>1072</v>
      </c>
      <c r="P27" s="58">
        <v>720</v>
      </c>
      <c r="Q27" s="2" t="s">
        <v>1072</v>
      </c>
      <c r="R27" s="41" t="s">
        <v>906</v>
      </c>
      <c r="S27" s="147">
        <f>1475*CA.US</f>
        <v>1032.5</v>
      </c>
      <c r="T27" s="2" t="s">
        <v>981</v>
      </c>
      <c r="U27" s="41" t="s">
        <v>418</v>
      </c>
    </row>
    <row r="28" spans="1:21" ht="12.6" customHeight="1">
      <c r="A28" s="66" t="s">
        <v>34</v>
      </c>
      <c r="B28" s="37" t="s">
        <v>575</v>
      </c>
      <c r="C28" s="2">
        <v>100</v>
      </c>
      <c r="D28" s="3">
        <v>2</v>
      </c>
      <c r="E28" s="2">
        <f t="shared" ref="E28" si="9">1.6*C28</f>
        <v>160</v>
      </c>
      <c r="F28" s="167" t="s">
        <v>815</v>
      </c>
      <c r="G28" s="68">
        <v>0.44</v>
      </c>
      <c r="H28" s="69">
        <v>0.68</v>
      </c>
      <c r="I28" s="2">
        <v>91</v>
      </c>
      <c r="J28" s="2">
        <v>76</v>
      </c>
      <c r="K28" s="3">
        <v>67</v>
      </c>
      <c r="L28" s="58">
        <f>AVERAGE(1075,1134,961,885,1122,1150,1050,1295,810,1087,1045)</f>
        <v>1055.8181818181818</v>
      </c>
      <c r="M28" s="16" t="s">
        <v>1072</v>
      </c>
      <c r="N28" s="58">
        <f>AVERAGE(1229,1474,1400,1389,1325,1399,1476,1400)</f>
        <v>1386.5</v>
      </c>
      <c r="O28" s="16" t="s">
        <v>1013</v>
      </c>
      <c r="P28" s="58">
        <v>1250</v>
      </c>
      <c r="Q28" s="2" t="s">
        <v>1072</v>
      </c>
      <c r="R28" s="41" t="s">
        <v>32</v>
      </c>
      <c r="S28" s="58">
        <v>1420</v>
      </c>
      <c r="T28" s="2" t="s">
        <v>1072</v>
      </c>
      <c r="U28" s="41" t="s">
        <v>906</v>
      </c>
    </row>
    <row r="29" spans="1:21" s="17" customFormat="1" ht="12.6" customHeight="1">
      <c r="A29" s="60" t="s">
        <v>34</v>
      </c>
      <c r="B29" s="49" t="s">
        <v>700</v>
      </c>
      <c r="C29" s="27">
        <v>135</v>
      </c>
      <c r="D29" s="64">
        <v>2</v>
      </c>
      <c r="E29" s="27">
        <f t="shared" si="8"/>
        <v>216</v>
      </c>
      <c r="F29" s="167" t="s">
        <v>815</v>
      </c>
      <c r="G29" s="50">
        <v>0.8</v>
      </c>
      <c r="H29" s="31">
        <v>0.93</v>
      </c>
      <c r="I29" s="27">
        <v>108</v>
      </c>
      <c r="J29" s="27">
        <v>84</v>
      </c>
      <c r="K29" s="64">
        <v>77</v>
      </c>
      <c r="L29" s="58">
        <f>AVERAGE(1500,1399,1625)</f>
        <v>1508</v>
      </c>
      <c r="M29" s="2" t="s">
        <v>1033</v>
      </c>
      <c r="N29" s="58">
        <f>AVERAGE(1600,1893,1899,1858,1900)</f>
        <v>1830</v>
      </c>
      <c r="O29" s="16" t="s">
        <v>970</v>
      </c>
      <c r="P29" s="52">
        <v>1490</v>
      </c>
      <c r="Q29" s="2" t="s">
        <v>1072</v>
      </c>
      <c r="R29" s="41" t="s">
        <v>906</v>
      </c>
      <c r="S29" s="52">
        <v>1672</v>
      </c>
      <c r="T29" s="2" t="s">
        <v>1072</v>
      </c>
      <c r="U29" s="41" t="s">
        <v>30</v>
      </c>
    </row>
    <row r="30" spans="1:21" s="17" customFormat="1" ht="12.6" customHeight="1">
      <c r="A30" s="97" t="s">
        <v>407</v>
      </c>
      <c r="B30" s="98"/>
      <c r="C30" s="34"/>
      <c r="D30" s="99"/>
      <c r="E30" s="34"/>
      <c r="F30" s="100"/>
      <c r="G30" s="101" t="s">
        <v>16</v>
      </c>
      <c r="H30" s="102" t="s">
        <v>16</v>
      </c>
      <c r="I30" s="34" t="s">
        <v>16</v>
      </c>
      <c r="J30" s="34" t="s">
        <v>16</v>
      </c>
      <c r="K30" s="34" t="s">
        <v>16</v>
      </c>
      <c r="L30" s="34" t="s">
        <v>16</v>
      </c>
      <c r="M30" s="34" t="s">
        <v>16</v>
      </c>
      <c r="N30" s="34" t="s">
        <v>16</v>
      </c>
      <c r="O30" s="34" t="s">
        <v>16</v>
      </c>
      <c r="P30" s="34" t="s">
        <v>16</v>
      </c>
      <c r="Q30" s="34" t="s">
        <v>16</v>
      </c>
      <c r="R30" s="34" t="s">
        <v>16</v>
      </c>
      <c r="S30" s="34" t="s">
        <v>16</v>
      </c>
      <c r="T30" s="34" t="s">
        <v>16</v>
      </c>
      <c r="U30" s="34" t="s">
        <v>16</v>
      </c>
    </row>
    <row r="31" spans="1:21" ht="12.6" customHeight="1">
      <c r="A31" s="66" t="s">
        <v>34</v>
      </c>
      <c r="B31" s="66" t="s">
        <v>199</v>
      </c>
      <c r="C31" s="2">
        <v>15</v>
      </c>
      <c r="D31" s="3">
        <v>3.5</v>
      </c>
      <c r="E31" s="2">
        <f t="shared" ref="E31:E44" si="10">1.6*C31</f>
        <v>24</v>
      </c>
      <c r="F31" s="57" t="s">
        <v>206</v>
      </c>
      <c r="G31" s="68">
        <v>0.16</v>
      </c>
      <c r="H31" s="69">
        <v>0.875</v>
      </c>
      <c r="I31" s="2">
        <v>94</v>
      </c>
      <c r="J31" s="2">
        <v>83.5</v>
      </c>
      <c r="K31" s="2" t="s">
        <v>105</v>
      </c>
      <c r="L31" s="58">
        <f>AVERAGE(1575,1700)</f>
        <v>1637.5</v>
      </c>
      <c r="M31" s="41" t="s">
        <v>1072</v>
      </c>
      <c r="N31" s="2">
        <f>AVERAGE(2000,3251)</f>
        <v>2625.5</v>
      </c>
      <c r="O31" s="2" t="s">
        <v>831</v>
      </c>
      <c r="P31" s="58">
        <v>1935</v>
      </c>
      <c r="Q31" s="16" t="s">
        <v>917</v>
      </c>
      <c r="R31" s="41" t="s">
        <v>30</v>
      </c>
      <c r="S31" s="58">
        <v>3600</v>
      </c>
      <c r="T31" s="16" t="s">
        <v>967</v>
      </c>
      <c r="U31" s="41" t="s">
        <v>514</v>
      </c>
    </row>
    <row r="32" spans="1:21" ht="12.6" customHeight="1">
      <c r="A32" s="66" t="s">
        <v>34</v>
      </c>
      <c r="B32" s="66" t="s">
        <v>244</v>
      </c>
      <c r="C32" s="2">
        <v>16</v>
      </c>
      <c r="D32" s="3">
        <v>2.8</v>
      </c>
      <c r="E32" s="2">
        <f t="shared" si="10"/>
        <v>25.6</v>
      </c>
      <c r="F32" s="57" t="s">
        <v>206</v>
      </c>
      <c r="G32" s="68">
        <v>0.3</v>
      </c>
      <c r="H32" s="69">
        <v>0.46</v>
      </c>
      <c r="I32" s="2">
        <v>61.5</v>
      </c>
      <c r="J32" s="2">
        <v>70</v>
      </c>
      <c r="K32" s="41" t="s">
        <v>105</v>
      </c>
      <c r="L32" s="2">
        <f>AVERAGE(599,608,650)</f>
        <v>619</v>
      </c>
      <c r="M32" s="41" t="s">
        <v>1072</v>
      </c>
      <c r="N32" s="58">
        <f>AVERAGE(1081,1399,1200,1297,1280)</f>
        <v>1251.4000000000001</v>
      </c>
      <c r="O32" s="2" t="s">
        <v>1047</v>
      </c>
      <c r="P32" s="58">
        <v>1479</v>
      </c>
      <c r="Q32" s="2" t="s">
        <v>1072</v>
      </c>
      <c r="R32" s="41" t="s">
        <v>30</v>
      </c>
      <c r="S32" s="58">
        <v>1550</v>
      </c>
      <c r="T32" s="2" t="s">
        <v>967</v>
      </c>
      <c r="U32" s="41" t="s">
        <v>514</v>
      </c>
    </row>
    <row r="33" spans="1:21" ht="12.6" customHeight="1">
      <c r="A33" s="66" t="s">
        <v>34</v>
      </c>
      <c r="B33" s="66" t="s">
        <v>200</v>
      </c>
      <c r="C33" s="2">
        <v>18</v>
      </c>
      <c r="D33" s="3">
        <v>4</v>
      </c>
      <c r="E33" s="2">
        <f t="shared" si="10"/>
        <v>28.8</v>
      </c>
      <c r="F33" s="57" t="s">
        <v>206</v>
      </c>
      <c r="G33" s="68">
        <v>0.3</v>
      </c>
      <c r="H33" s="69">
        <v>0.35</v>
      </c>
      <c r="I33" s="2">
        <v>51.5</v>
      </c>
      <c r="J33" s="2">
        <v>70</v>
      </c>
      <c r="K33" s="2" t="s">
        <v>245</v>
      </c>
      <c r="L33" s="58">
        <f>AVERAGE(539,528,549,510,630,555,532,590)</f>
        <v>554.125</v>
      </c>
      <c r="M33" s="41" t="s">
        <v>1072</v>
      </c>
      <c r="N33" s="2">
        <f>AVERAGE(640,663,600,700,660,658,758,699)</f>
        <v>672.25</v>
      </c>
      <c r="O33" s="2" t="s">
        <v>1045</v>
      </c>
      <c r="P33" s="58">
        <v>800</v>
      </c>
      <c r="Q33" s="2" t="s">
        <v>973</v>
      </c>
      <c r="R33" s="41" t="s">
        <v>32</v>
      </c>
      <c r="S33" s="58">
        <v>1745</v>
      </c>
      <c r="T33" s="2" t="s">
        <v>1072</v>
      </c>
      <c r="U33" s="41" t="s">
        <v>28</v>
      </c>
    </row>
    <row r="34" spans="1:21" ht="12.6" customHeight="1">
      <c r="A34" s="60" t="s">
        <v>34</v>
      </c>
      <c r="B34" s="60" t="s">
        <v>219</v>
      </c>
      <c r="C34" s="27">
        <v>21</v>
      </c>
      <c r="D34" s="64">
        <v>2.8</v>
      </c>
      <c r="E34" s="27">
        <f t="shared" si="10"/>
        <v>33.6</v>
      </c>
      <c r="F34" s="62" t="s">
        <v>206</v>
      </c>
      <c r="G34" s="50">
        <v>0.22</v>
      </c>
      <c r="H34" s="31">
        <v>0.53</v>
      </c>
      <c r="I34" s="27">
        <v>90.5</v>
      </c>
      <c r="J34" s="27">
        <v>85</v>
      </c>
      <c r="K34" s="43">
        <v>82</v>
      </c>
      <c r="L34" s="52">
        <f>AVERAGE(1318,1210,1399,1425,1400,1469,1302,1427,1298)</f>
        <v>1360.8888888888889</v>
      </c>
      <c r="M34" s="27" t="s">
        <v>1072</v>
      </c>
      <c r="N34" s="52">
        <f>AVERAGE(1859,1650,1799,1600,1680,1678,1980,1950,1890)</f>
        <v>1787.3333333333333</v>
      </c>
      <c r="O34" s="61" t="s">
        <v>1072</v>
      </c>
      <c r="P34" s="52">
        <v>1480</v>
      </c>
      <c r="Q34" s="27" t="s">
        <v>552</v>
      </c>
      <c r="R34" s="43" t="s">
        <v>30</v>
      </c>
      <c r="S34" s="52">
        <v>2100</v>
      </c>
      <c r="T34" s="27" t="s">
        <v>1045</v>
      </c>
      <c r="U34" s="43" t="s">
        <v>30</v>
      </c>
    </row>
    <row r="35" spans="1:21" ht="12.6" customHeight="1">
      <c r="A35" s="66" t="s">
        <v>34</v>
      </c>
      <c r="B35" s="66" t="s">
        <v>172</v>
      </c>
      <c r="C35" s="2">
        <v>25</v>
      </c>
      <c r="D35" s="3">
        <v>2.8</v>
      </c>
      <c r="E35" s="2">
        <f t="shared" si="10"/>
        <v>40</v>
      </c>
      <c r="F35" s="57" t="s">
        <v>206</v>
      </c>
      <c r="G35" s="68">
        <v>0.25</v>
      </c>
      <c r="H35" s="69">
        <v>0.36</v>
      </c>
      <c r="I35" s="2">
        <v>56</v>
      </c>
      <c r="J35" s="2">
        <v>62.5</v>
      </c>
      <c r="K35" s="2">
        <v>55</v>
      </c>
      <c r="L35" s="58">
        <f>AVERAGE(348,418,415,400,428,380,394,367,422)</f>
        <v>396.88888888888891</v>
      </c>
      <c r="M35" s="41" t="s">
        <v>1072</v>
      </c>
      <c r="N35" s="2">
        <f>AVERAGE(442,486,489,514,528,530,598)</f>
        <v>512.42857142857144</v>
      </c>
      <c r="O35" s="2" t="s">
        <v>1072</v>
      </c>
      <c r="P35" s="58">
        <v>380</v>
      </c>
      <c r="Q35" s="2" t="s">
        <v>1072</v>
      </c>
      <c r="R35" s="41" t="s">
        <v>32</v>
      </c>
      <c r="S35" s="58">
        <v>517</v>
      </c>
      <c r="T35" s="2" t="s">
        <v>1045</v>
      </c>
      <c r="U35" s="41" t="s">
        <v>30</v>
      </c>
    </row>
    <row r="36" spans="1:21" ht="12.6" customHeight="1">
      <c r="A36" s="66" t="s">
        <v>34</v>
      </c>
      <c r="B36" s="66" t="s">
        <v>144</v>
      </c>
      <c r="C36" s="2">
        <v>28</v>
      </c>
      <c r="D36" s="3">
        <v>2</v>
      </c>
      <c r="E36" s="2">
        <f t="shared" si="10"/>
        <v>44.800000000000004</v>
      </c>
      <c r="F36" s="57" t="s">
        <v>206</v>
      </c>
      <c r="G36" s="68">
        <v>0.24</v>
      </c>
      <c r="H36" s="69">
        <v>0.53</v>
      </c>
      <c r="I36" s="2">
        <v>76</v>
      </c>
      <c r="J36" s="2">
        <v>62.5</v>
      </c>
      <c r="K36" s="41">
        <v>55</v>
      </c>
      <c r="L36" s="58">
        <f>AVERAGE(699,689,813,729,789,859,899,928,765)</f>
        <v>796.66666666666663</v>
      </c>
      <c r="M36" s="41" t="s">
        <v>1072</v>
      </c>
      <c r="N36" s="2">
        <f>AVERAGE(999,1580,998,1497,1116,1060,1130,1086,1000)</f>
        <v>1162.8888888888889</v>
      </c>
      <c r="O36" s="2" t="s">
        <v>1072</v>
      </c>
      <c r="P36" s="58">
        <v>1082</v>
      </c>
      <c r="Q36" s="2" t="s">
        <v>917</v>
      </c>
      <c r="R36" s="59" t="s">
        <v>30</v>
      </c>
      <c r="S36" s="74">
        <v>1400</v>
      </c>
      <c r="T36" s="2" t="s">
        <v>967</v>
      </c>
      <c r="U36" s="59" t="s">
        <v>514</v>
      </c>
    </row>
    <row r="37" spans="1:21" ht="12.6" customHeight="1">
      <c r="A37" s="66" t="s">
        <v>34</v>
      </c>
      <c r="B37" s="66" t="s">
        <v>145</v>
      </c>
      <c r="C37" s="2">
        <v>28</v>
      </c>
      <c r="D37" s="3">
        <v>2.8</v>
      </c>
      <c r="E37" s="2">
        <f t="shared" si="10"/>
        <v>44.800000000000004</v>
      </c>
      <c r="F37" s="57" t="s">
        <v>206</v>
      </c>
      <c r="G37" s="68">
        <v>0.25</v>
      </c>
      <c r="H37" s="69">
        <v>0.28000000000000003</v>
      </c>
      <c r="I37" s="2">
        <v>50</v>
      </c>
      <c r="J37" s="2">
        <v>63</v>
      </c>
      <c r="K37" s="41">
        <v>55</v>
      </c>
      <c r="L37" s="58">
        <f>AVERAGE(250,260,269,234,289,229,225,203,340,225,243)</f>
        <v>251.54545454545453</v>
      </c>
      <c r="M37" s="41" t="s">
        <v>1072</v>
      </c>
      <c r="N37" s="2">
        <f>AVERAGE(299,355,330,336,419,440,414,439)</f>
        <v>379</v>
      </c>
      <c r="O37" s="2" t="s">
        <v>1072</v>
      </c>
      <c r="P37" s="58">
        <v>432</v>
      </c>
      <c r="Q37" s="2" t="s">
        <v>1072</v>
      </c>
      <c r="R37" s="59" t="s">
        <v>30</v>
      </c>
      <c r="S37" s="74">
        <v>550</v>
      </c>
      <c r="T37" s="2" t="s">
        <v>878</v>
      </c>
      <c r="U37" s="59" t="s">
        <v>32</v>
      </c>
    </row>
    <row r="38" spans="1:21" ht="12.6" customHeight="1">
      <c r="A38" s="66" t="s">
        <v>34</v>
      </c>
      <c r="B38" s="158" t="s">
        <v>146</v>
      </c>
      <c r="C38" s="2">
        <v>35</v>
      </c>
      <c r="D38" s="3">
        <v>1.4</v>
      </c>
      <c r="E38" s="2">
        <f t="shared" si="10"/>
        <v>56</v>
      </c>
      <c r="F38" s="57" t="s">
        <v>206</v>
      </c>
      <c r="G38" s="68">
        <v>0.3</v>
      </c>
      <c r="H38" s="69">
        <v>0.6</v>
      </c>
      <c r="I38" s="2">
        <v>76</v>
      </c>
      <c r="J38" s="2">
        <v>70</v>
      </c>
      <c r="K38" s="2">
        <v>67</v>
      </c>
      <c r="L38" s="58">
        <f>AVERAGE(828,998,794,812,999,940,1162,1041,1197,915)</f>
        <v>968.6</v>
      </c>
      <c r="M38" s="41" t="s">
        <v>1072</v>
      </c>
      <c r="N38" s="2">
        <f>AVERAGE(1249,1325,1199,1100,1220,1280,1300,1345,1435,1338)</f>
        <v>1279.0999999999999</v>
      </c>
      <c r="O38" s="2" t="s">
        <v>1072</v>
      </c>
      <c r="P38" s="58">
        <v>1675</v>
      </c>
      <c r="Q38" s="2" t="s">
        <v>1045</v>
      </c>
      <c r="R38" s="59" t="s">
        <v>30</v>
      </c>
      <c r="S38" s="74">
        <v>2184</v>
      </c>
      <c r="T38" s="2" t="s">
        <v>1045</v>
      </c>
      <c r="U38" s="59" t="s">
        <v>30</v>
      </c>
    </row>
    <row r="39" spans="1:21" ht="12.6" customHeight="1">
      <c r="A39" s="66" t="s">
        <v>34</v>
      </c>
      <c r="B39" s="158" t="s">
        <v>218</v>
      </c>
      <c r="C39" s="2">
        <v>35</v>
      </c>
      <c r="D39" s="3">
        <v>2.8</v>
      </c>
      <c r="E39" s="2">
        <f t="shared" si="10"/>
        <v>56</v>
      </c>
      <c r="F39" s="57" t="s">
        <v>206</v>
      </c>
      <c r="G39" s="68">
        <v>0.4</v>
      </c>
      <c r="H39" s="69">
        <v>0.24</v>
      </c>
      <c r="I39" s="2">
        <v>46</v>
      </c>
      <c r="J39" s="2">
        <v>62.5</v>
      </c>
      <c r="K39" s="41">
        <v>55</v>
      </c>
      <c r="L39" s="58">
        <f>AVERAGE(207,226,217,210,228,230,239,249,247,218)</f>
        <v>227.1</v>
      </c>
      <c r="M39" s="2" t="s">
        <v>1072</v>
      </c>
      <c r="N39" s="58">
        <f>AVERAGE(320,300,329,351,323,349,310,340,350,295)</f>
        <v>326.7</v>
      </c>
      <c r="O39" s="2" t="s">
        <v>1072</v>
      </c>
      <c r="P39" s="58">
        <v>379</v>
      </c>
      <c r="Q39" s="2" t="s">
        <v>1072</v>
      </c>
      <c r="R39" s="59" t="s">
        <v>30</v>
      </c>
      <c r="S39" s="74">
        <v>450</v>
      </c>
      <c r="T39" s="2" t="s">
        <v>1072</v>
      </c>
      <c r="U39" s="59" t="s">
        <v>30</v>
      </c>
    </row>
    <row r="40" spans="1:21" ht="12.6" customHeight="1">
      <c r="A40" s="60" t="s">
        <v>34</v>
      </c>
      <c r="B40" s="60" t="s">
        <v>239</v>
      </c>
      <c r="C40" s="27">
        <v>35</v>
      </c>
      <c r="D40" s="64">
        <v>2.8</v>
      </c>
      <c r="E40" s="27">
        <f t="shared" si="10"/>
        <v>56</v>
      </c>
      <c r="F40" s="62" t="s">
        <v>206</v>
      </c>
      <c r="G40" s="50">
        <v>0.3</v>
      </c>
      <c r="H40" s="31">
        <v>0.74</v>
      </c>
      <c r="I40" s="27">
        <v>85.6</v>
      </c>
      <c r="J40" s="27">
        <v>70</v>
      </c>
      <c r="K40" s="43" t="s">
        <v>243</v>
      </c>
      <c r="L40" s="52">
        <f>AVERAGE(1297,1243,950,1310,1200,1003,1105)</f>
        <v>1158.2857142857142</v>
      </c>
      <c r="M40" s="27" t="s">
        <v>1047</v>
      </c>
      <c r="N40" s="52">
        <f>AVERAGE(1860,1847,1488,1891,1850,2060)</f>
        <v>1832.6666666666667</v>
      </c>
      <c r="O40" s="61" t="s">
        <v>870</v>
      </c>
      <c r="P40" s="52">
        <v>1670</v>
      </c>
      <c r="Q40" s="27" t="s">
        <v>686</v>
      </c>
      <c r="R40" s="43" t="s">
        <v>30</v>
      </c>
      <c r="S40" s="52" t="s">
        <v>16</v>
      </c>
      <c r="T40" s="27" t="s">
        <v>16</v>
      </c>
      <c r="U40" s="43" t="s">
        <v>16</v>
      </c>
    </row>
    <row r="41" spans="1:21" ht="12.6" customHeight="1">
      <c r="A41" s="66" t="s">
        <v>34</v>
      </c>
      <c r="B41" s="158" t="s">
        <v>147</v>
      </c>
      <c r="C41" s="2">
        <v>45</v>
      </c>
      <c r="D41" s="3">
        <v>2.8</v>
      </c>
      <c r="E41" s="2">
        <f t="shared" si="10"/>
        <v>72</v>
      </c>
      <c r="F41" s="57" t="s">
        <v>206</v>
      </c>
      <c r="G41" s="68">
        <v>0.6</v>
      </c>
      <c r="H41" s="69">
        <v>0.09</v>
      </c>
      <c r="I41" s="2">
        <v>18</v>
      </c>
      <c r="J41" s="2">
        <v>58</v>
      </c>
      <c r="K41" s="41">
        <v>49</v>
      </c>
      <c r="L41" s="58">
        <f>AVERAGE(170,199,179,199,179,160,155,205,190,219,181)</f>
        <v>185.09090909090909</v>
      </c>
      <c r="M41" s="2" t="s">
        <v>1072</v>
      </c>
      <c r="N41" s="58">
        <f>AVERAGE(210,245,249,230,229,272,249)</f>
        <v>240.57142857142858</v>
      </c>
      <c r="O41" s="2" t="s">
        <v>1045</v>
      </c>
      <c r="P41" s="58">
        <v>268</v>
      </c>
      <c r="Q41" s="2" t="s">
        <v>1072</v>
      </c>
      <c r="R41" s="59" t="s">
        <v>30</v>
      </c>
      <c r="S41" s="74">
        <v>350</v>
      </c>
      <c r="T41" s="2" t="s">
        <v>1045</v>
      </c>
      <c r="U41" s="59" t="s">
        <v>32</v>
      </c>
    </row>
    <row r="42" spans="1:21" ht="12.6" customHeight="1">
      <c r="A42" s="66" t="s">
        <v>34</v>
      </c>
      <c r="B42" s="158" t="s">
        <v>148</v>
      </c>
      <c r="C42" s="2">
        <v>50</v>
      </c>
      <c r="D42" s="3">
        <v>1.4</v>
      </c>
      <c r="E42" s="2">
        <f t="shared" si="10"/>
        <v>80</v>
      </c>
      <c r="F42" s="57" t="s">
        <v>206</v>
      </c>
      <c r="G42" s="68">
        <v>0.45</v>
      </c>
      <c r="H42" s="69">
        <v>0.28999999999999998</v>
      </c>
      <c r="I42" s="2">
        <v>41</v>
      </c>
      <c r="J42" s="2">
        <v>62.5</v>
      </c>
      <c r="K42" s="41">
        <v>55</v>
      </c>
      <c r="L42" s="58">
        <f>AVERAGE(218,259,255,234,279,245,304,269,274)</f>
        <v>259.66666666666669</v>
      </c>
      <c r="M42" s="2" t="s">
        <v>1072</v>
      </c>
      <c r="N42" s="58">
        <f>AVERAGE(379,300,359,330,283,330,340,375,405,300)</f>
        <v>340.1</v>
      </c>
      <c r="O42" s="2" t="s">
        <v>1072</v>
      </c>
      <c r="P42" s="58">
        <v>225</v>
      </c>
      <c r="Q42" s="2" t="s">
        <v>1072</v>
      </c>
      <c r="R42" s="59" t="s">
        <v>29</v>
      </c>
      <c r="S42" s="74">
        <v>375</v>
      </c>
      <c r="T42" s="2" t="s">
        <v>1045</v>
      </c>
      <c r="U42" s="59" t="s">
        <v>29</v>
      </c>
    </row>
    <row r="43" spans="1:21" ht="12.6" customHeight="1">
      <c r="A43" s="66" t="s">
        <v>34</v>
      </c>
      <c r="B43" s="158" t="s">
        <v>149</v>
      </c>
      <c r="C43" s="2">
        <v>50</v>
      </c>
      <c r="D43" s="3">
        <v>1.7</v>
      </c>
      <c r="E43" s="2">
        <f t="shared" si="10"/>
        <v>80</v>
      </c>
      <c r="F43" s="57" t="s">
        <v>206</v>
      </c>
      <c r="G43" s="68">
        <v>0.6</v>
      </c>
      <c r="H43" s="69">
        <v>0.19</v>
      </c>
      <c r="I43" s="2">
        <v>36</v>
      </c>
      <c r="J43" s="2">
        <v>59</v>
      </c>
      <c r="K43" s="41">
        <v>55</v>
      </c>
      <c r="L43" s="58">
        <f>AVERAGE(133,136,149,148,147,143,160,172,129,154,133)</f>
        <v>145.81818181818181</v>
      </c>
      <c r="M43" s="2" t="s">
        <v>1072</v>
      </c>
      <c r="N43" s="58">
        <f>AVERAGE(205,195,200,192,165,212,219,200,208)</f>
        <v>199.55555555555554</v>
      </c>
      <c r="O43" s="2" t="s">
        <v>1072</v>
      </c>
      <c r="P43" s="58">
        <v>208</v>
      </c>
      <c r="Q43" s="2" t="s">
        <v>1045</v>
      </c>
      <c r="R43" s="59" t="s">
        <v>30</v>
      </c>
      <c r="S43" s="74">
        <v>250</v>
      </c>
      <c r="T43" s="2" t="s">
        <v>631</v>
      </c>
      <c r="U43" s="59" t="s">
        <v>32</v>
      </c>
    </row>
    <row r="44" spans="1:21" ht="12.6" customHeight="1">
      <c r="A44" s="60" t="s">
        <v>34</v>
      </c>
      <c r="B44" s="60" t="s">
        <v>983</v>
      </c>
      <c r="C44" s="27">
        <v>55</v>
      </c>
      <c r="D44" s="64">
        <v>1.2</v>
      </c>
      <c r="E44" s="27">
        <f t="shared" si="10"/>
        <v>88</v>
      </c>
      <c r="F44" s="62" t="s">
        <v>206</v>
      </c>
      <c r="G44" s="50">
        <v>0.6</v>
      </c>
      <c r="H44" s="31">
        <v>0.5</v>
      </c>
      <c r="I44" s="27">
        <v>60</v>
      </c>
      <c r="J44" s="27">
        <v>80</v>
      </c>
      <c r="K44" s="43">
        <v>77</v>
      </c>
      <c r="L44" s="52">
        <f>AVERAGE(0)</f>
        <v>0</v>
      </c>
      <c r="M44" s="27" t="s">
        <v>16</v>
      </c>
      <c r="N44" s="52">
        <f>AVERAGE(7047)</f>
        <v>7047</v>
      </c>
      <c r="O44" s="61" t="s">
        <v>890</v>
      </c>
      <c r="P44" s="52">
        <v>6902</v>
      </c>
      <c r="Q44" s="27" t="s">
        <v>917</v>
      </c>
      <c r="R44" s="43" t="s">
        <v>30</v>
      </c>
      <c r="S44" s="52">
        <v>9500</v>
      </c>
      <c r="T44" s="27" t="s">
        <v>967</v>
      </c>
      <c r="U44" s="43" t="s">
        <v>514</v>
      </c>
    </row>
    <row r="45" spans="1:21" ht="12.6" customHeight="1">
      <c r="A45" s="168" t="s">
        <v>34</v>
      </c>
      <c r="B45" s="169" t="s">
        <v>994</v>
      </c>
      <c r="C45" s="2">
        <v>60</v>
      </c>
      <c r="D45" s="3">
        <v>2.8</v>
      </c>
      <c r="E45" s="2">
        <f t="shared" ref="E45:E65" si="11">1.6*C45</f>
        <v>96</v>
      </c>
      <c r="F45" s="57" t="s">
        <v>206</v>
      </c>
      <c r="G45" s="68">
        <v>0.27</v>
      </c>
      <c r="H45" s="69">
        <v>0.35</v>
      </c>
      <c r="I45" s="2">
        <v>60</v>
      </c>
      <c r="J45" s="2">
        <v>62.5</v>
      </c>
      <c r="K45" s="41">
        <v>55</v>
      </c>
      <c r="L45" s="58">
        <f>AVERAGE(450)</f>
        <v>450</v>
      </c>
      <c r="M45" s="2" t="s">
        <v>1013</v>
      </c>
      <c r="N45" s="58">
        <f>AVERAGE(0)</f>
        <v>0</v>
      </c>
      <c r="O45" s="16" t="s">
        <v>16</v>
      </c>
      <c r="P45" s="58" t="s">
        <v>16</v>
      </c>
      <c r="Q45" s="2" t="s">
        <v>16</v>
      </c>
      <c r="R45" s="59" t="s">
        <v>16</v>
      </c>
      <c r="S45" s="74" t="s">
        <v>16</v>
      </c>
      <c r="T45" s="2" t="s">
        <v>16</v>
      </c>
      <c r="U45" s="59" t="s">
        <v>16</v>
      </c>
    </row>
    <row r="46" spans="1:21" ht="12.6" customHeight="1">
      <c r="A46" s="66" t="s">
        <v>34</v>
      </c>
      <c r="B46" s="158" t="s">
        <v>1055</v>
      </c>
      <c r="C46" s="2">
        <v>60</v>
      </c>
      <c r="D46" s="3">
        <v>2.8</v>
      </c>
      <c r="E46" s="2">
        <f t="shared" si="11"/>
        <v>96</v>
      </c>
      <c r="F46" s="57" t="s">
        <v>206</v>
      </c>
      <c r="G46" s="170">
        <v>0.27</v>
      </c>
      <c r="H46" s="69">
        <v>0.56999999999999995</v>
      </c>
      <c r="I46" s="2">
        <v>74</v>
      </c>
      <c r="J46" s="2">
        <v>75.5</v>
      </c>
      <c r="K46" s="41">
        <v>67</v>
      </c>
      <c r="L46" s="58">
        <f>AVERAGE(364,440)</f>
        <v>402</v>
      </c>
      <c r="M46" s="2" t="s">
        <v>1072</v>
      </c>
      <c r="N46" s="58">
        <f>AVERAGE(415,540)</f>
        <v>477.5</v>
      </c>
      <c r="O46" s="16" t="s">
        <v>1072</v>
      </c>
      <c r="P46" s="58" t="s">
        <v>16</v>
      </c>
      <c r="Q46" s="2" t="s">
        <v>16</v>
      </c>
      <c r="R46" s="59" t="s">
        <v>16</v>
      </c>
      <c r="S46" s="74" t="s">
        <v>16</v>
      </c>
      <c r="T46" s="2" t="s">
        <v>16</v>
      </c>
      <c r="U46" s="59" t="s">
        <v>16</v>
      </c>
    </row>
    <row r="47" spans="1:21" ht="12.6" customHeight="1">
      <c r="A47" s="66" t="s">
        <v>34</v>
      </c>
      <c r="B47" s="158" t="s">
        <v>1054</v>
      </c>
      <c r="C47" s="2">
        <v>60</v>
      </c>
      <c r="D47" s="3">
        <v>2.8</v>
      </c>
      <c r="E47" s="2">
        <f t="shared" si="11"/>
        <v>96</v>
      </c>
      <c r="F47" s="57" t="s">
        <v>206</v>
      </c>
      <c r="G47" s="170">
        <v>0.27</v>
      </c>
      <c r="H47" s="69">
        <v>0.56999999999999995</v>
      </c>
      <c r="I47" s="2">
        <v>74</v>
      </c>
      <c r="J47" s="2">
        <v>75.5</v>
      </c>
      <c r="K47" s="41">
        <v>67</v>
      </c>
      <c r="L47" s="58">
        <f>AVERAGE(420,406,410,425,386,365,501,470,405,423)</f>
        <v>421.1</v>
      </c>
      <c r="M47" s="2" t="s">
        <v>1033</v>
      </c>
      <c r="N47" s="58">
        <f>AVERAGE(600,613,516,700,550,573,619,566,670,553)</f>
        <v>596</v>
      </c>
      <c r="O47" s="16" t="s">
        <v>973</v>
      </c>
      <c r="P47" s="58">
        <v>528</v>
      </c>
      <c r="Q47" s="2" t="s">
        <v>1045</v>
      </c>
      <c r="R47" s="59" t="s">
        <v>30</v>
      </c>
      <c r="S47" s="74">
        <v>750</v>
      </c>
      <c r="T47" s="2" t="s">
        <v>878</v>
      </c>
      <c r="U47" s="59" t="s">
        <v>32</v>
      </c>
    </row>
    <row r="48" spans="1:21" ht="12.6" customHeight="1">
      <c r="A48" s="60" t="s">
        <v>34</v>
      </c>
      <c r="B48" s="60" t="s">
        <v>1056</v>
      </c>
      <c r="C48" s="27">
        <v>60</v>
      </c>
      <c r="D48" s="64">
        <v>2.8</v>
      </c>
      <c r="E48" s="27">
        <f>1.6*C48</f>
        <v>96</v>
      </c>
      <c r="F48" s="62" t="s">
        <v>206</v>
      </c>
      <c r="G48" s="50">
        <v>0.27</v>
      </c>
      <c r="H48" s="31">
        <v>0.27</v>
      </c>
      <c r="I48" s="27">
        <v>51.5</v>
      </c>
      <c r="J48" s="27">
        <v>64.5</v>
      </c>
      <c r="K48" s="43">
        <v>55</v>
      </c>
      <c r="L48" s="52">
        <f>AVERAGE(360,395,452,400,400,430)</f>
        <v>406.16666666666669</v>
      </c>
      <c r="M48" s="27" t="s">
        <v>1072</v>
      </c>
      <c r="N48" s="52">
        <f>AVERAGE(525,650,550,575,568,660,569,565,549,658,510,589)</f>
        <v>580.66666666666663</v>
      </c>
      <c r="O48" s="43" t="s">
        <v>1013</v>
      </c>
      <c r="P48" s="52">
        <v>499</v>
      </c>
      <c r="Q48" s="27" t="s">
        <v>1072</v>
      </c>
      <c r="R48" s="43" t="s">
        <v>30</v>
      </c>
      <c r="S48" s="52">
        <v>700</v>
      </c>
      <c r="T48" s="27" t="s">
        <v>725</v>
      </c>
      <c r="U48" s="43" t="s">
        <v>32</v>
      </c>
    </row>
    <row r="49" spans="1:21" ht="12.6" customHeight="1">
      <c r="A49" s="66" t="s">
        <v>34</v>
      </c>
      <c r="B49" s="158" t="s">
        <v>984</v>
      </c>
      <c r="C49" s="2">
        <v>85</v>
      </c>
      <c r="D49" s="3">
        <v>1.2</v>
      </c>
      <c r="E49" s="2">
        <f t="shared" si="11"/>
        <v>136</v>
      </c>
      <c r="F49" s="57" t="s">
        <v>206</v>
      </c>
      <c r="G49" s="68">
        <v>1</v>
      </c>
      <c r="H49" s="69">
        <v>0.874</v>
      </c>
      <c r="I49" s="2">
        <v>72.5</v>
      </c>
      <c r="J49" s="2">
        <v>80</v>
      </c>
      <c r="K49" s="41">
        <v>77</v>
      </c>
      <c r="L49" s="58">
        <f>AVERAGE(2700,2700,2605)</f>
        <v>2668.3333333333335</v>
      </c>
      <c r="M49" s="2" t="s">
        <v>714</v>
      </c>
      <c r="N49" s="58">
        <f>AVERAGE(3280,3300,3888,3539,3800,3050)</f>
        <v>3476.1666666666665</v>
      </c>
      <c r="O49" s="2" t="s">
        <v>1045</v>
      </c>
      <c r="P49" s="58">
        <f>3889*CA.US</f>
        <v>2722.2999999999997</v>
      </c>
      <c r="Q49" s="2" t="s">
        <v>1045</v>
      </c>
      <c r="R49" s="59" t="s">
        <v>758</v>
      </c>
      <c r="S49" s="74" t="s">
        <v>16</v>
      </c>
      <c r="T49" s="2" t="s">
        <v>16</v>
      </c>
      <c r="U49" s="59" t="s">
        <v>16</v>
      </c>
    </row>
    <row r="50" spans="1:21" ht="12.6" customHeight="1">
      <c r="A50" s="66" t="s">
        <v>34</v>
      </c>
      <c r="B50" s="158" t="s">
        <v>150</v>
      </c>
      <c r="C50" s="2">
        <v>85</v>
      </c>
      <c r="D50" s="3">
        <v>1.4</v>
      </c>
      <c r="E50" s="2">
        <f t="shared" si="11"/>
        <v>136</v>
      </c>
      <c r="F50" s="57" t="s">
        <v>206</v>
      </c>
      <c r="G50" s="68">
        <v>1</v>
      </c>
      <c r="H50" s="69">
        <v>0.59499999999999997</v>
      </c>
      <c r="I50" s="2">
        <v>64</v>
      </c>
      <c r="J50" s="2">
        <v>70</v>
      </c>
      <c r="K50" s="41">
        <v>67</v>
      </c>
      <c r="L50" s="58">
        <f>AVERAGE(470,489,599,518,525,499,489,500,525,499)</f>
        <v>511.3</v>
      </c>
      <c r="M50" s="16" t="s">
        <v>1072</v>
      </c>
      <c r="N50" s="58">
        <f>AVERAGE(616,599,620,709,680,710,799,700,705)</f>
        <v>682</v>
      </c>
      <c r="O50" s="2" t="s">
        <v>1072</v>
      </c>
      <c r="P50" s="58">
        <v>648</v>
      </c>
      <c r="Q50" s="2" t="s">
        <v>1072</v>
      </c>
      <c r="R50" s="59" t="s">
        <v>30</v>
      </c>
      <c r="S50" s="74">
        <v>850</v>
      </c>
      <c r="T50" s="2" t="s">
        <v>1045</v>
      </c>
      <c r="U50" s="59" t="s">
        <v>30</v>
      </c>
    </row>
    <row r="51" spans="1:21" ht="12.6" customHeight="1">
      <c r="A51" s="66" t="s">
        <v>34</v>
      </c>
      <c r="B51" s="158" t="s">
        <v>194</v>
      </c>
      <c r="C51" s="2">
        <v>85</v>
      </c>
      <c r="D51" s="3">
        <v>2.8</v>
      </c>
      <c r="E51" s="2">
        <f t="shared" si="11"/>
        <v>136</v>
      </c>
      <c r="F51" s="57" t="s">
        <v>206</v>
      </c>
      <c r="G51" s="68">
        <v>1</v>
      </c>
      <c r="H51" s="69">
        <v>0.23</v>
      </c>
      <c r="I51" s="2">
        <v>46.5</v>
      </c>
      <c r="J51" s="2">
        <v>61</v>
      </c>
      <c r="K51" s="41">
        <v>55</v>
      </c>
      <c r="L51" s="58">
        <f>AVERAGE(235,229,224,280,300,237,239,280,238,239,204)</f>
        <v>245.90909090909091</v>
      </c>
      <c r="M51" s="2" t="s">
        <v>1045</v>
      </c>
      <c r="N51" s="58">
        <f>AVERAGE(345,369,400,359,360,367,360,358,380)</f>
        <v>366.44444444444446</v>
      </c>
      <c r="O51" s="2" t="s">
        <v>1072</v>
      </c>
      <c r="P51" s="58">
        <v>195</v>
      </c>
      <c r="Q51" s="2" t="s">
        <v>973</v>
      </c>
      <c r="R51" s="59" t="s">
        <v>28</v>
      </c>
      <c r="S51" s="74">
        <v>400</v>
      </c>
      <c r="T51" s="2" t="s">
        <v>1045</v>
      </c>
      <c r="U51" s="59" t="s">
        <v>32</v>
      </c>
    </row>
    <row r="52" spans="1:21" ht="12.6" customHeight="1">
      <c r="A52" s="66" t="s">
        <v>34</v>
      </c>
      <c r="B52" s="158" t="s">
        <v>151</v>
      </c>
      <c r="C52" s="2">
        <v>100</v>
      </c>
      <c r="D52" s="3">
        <v>2</v>
      </c>
      <c r="E52" s="2">
        <f t="shared" si="11"/>
        <v>160</v>
      </c>
      <c r="F52" s="57" t="s">
        <v>206</v>
      </c>
      <c r="G52" s="25">
        <v>1</v>
      </c>
      <c r="H52" s="69">
        <v>0.67</v>
      </c>
      <c r="I52" s="2">
        <v>84</v>
      </c>
      <c r="J52" s="2">
        <v>70</v>
      </c>
      <c r="K52" s="41">
        <v>67</v>
      </c>
      <c r="L52" s="58">
        <f>AVERAGE(654,863,616,649,836,819,835,810,764)</f>
        <v>760.66666666666663</v>
      </c>
      <c r="M52" s="2" t="s">
        <v>1072</v>
      </c>
      <c r="N52" s="58">
        <f>AVERAGE(1250,1050,910,899,1249,1178,1098,1138,1067,1099,1059)</f>
        <v>1090.6363636363637</v>
      </c>
      <c r="O52" s="2" t="s">
        <v>981</v>
      </c>
      <c r="P52" s="58">
        <v>1220</v>
      </c>
      <c r="Q52" s="2" t="s">
        <v>1072</v>
      </c>
      <c r="R52" s="59" t="s">
        <v>30</v>
      </c>
      <c r="S52" s="74">
        <v>1430</v>
      </c>
      <c r="T52" s="2" t="s">
        <v>1045</v>
      </c>
      <c r="U52" s="59" t="s">
        <v>30</v>
      </c>
    </row>
    <row r="53" spans="1:21" ht="12.6" customHeight="1">
      <c r="A53" s="66" t="s">
        <v>34</v>
      </c>
      <c r="B53" s="158" t="s">
        <v>152</v>
      </c>
      <c r="C53" s="2">
        <v>100</v>
      </c>
      <c r="D53" s="3">
        <v>2.8</v>
      </c>
      <c r="E53" s="2">
        <f t="shared" si="11"/>
        <v>160</v>
      </c>
      <c r="F53" s="57" t="s">
        <v>206</v>
      </c>
      <c r="G53" s="25">
        <v>0.45</v>
      </c>
      <c r="H53" s="69">
        <v>0.74</v>
      </c>
      <c r="I53" s="2">
        <v>86.8</v>
      </c>
      <c r="J53" s="2">
        <v>76.400000000000006</v>
      </c>
      <c r="K53" s="41">
        <v>67</v>
      </c>
      <c r="L53" s="58">
        <f>AVERAGE(569,649,670,559,636,559,558,608,630)</f>
        <v>604.22222222222217</v>
      </c>
      <c r="M53" s="2" t="s">
        <v>1072</v>
      </c>
      <c r="N53" s="58">
        <f>AVERAGE(850,860,815,848,975,885,1075,1028,969,939)</f>
        <v>924.4</v>
      </c>
      <c r="O53" s="2" t="s">
        <v>970</v>
      </c>
      <c r="P53" s="58">
        <v>792</v>
      </c>
      <c r="Q53" s="2" t="s">
        <v>1072</v>
      </c>
      <c r="R53" s="59" t="s">
        <v>30</v>
      </c>
      <c r="S53" s="74">
        <v>800</v>
      </c>
      <c r="T53" s="2" t="s">
        <v>772</v>
      </c>
      <c r="U53" s="59" t="s">
        <v>32</v>
      </c>
    </row>
    <row r="54" spans="1:21" ht="12.6" customHeight="1">
      <c r="A54" s="66" t="s">
        <v>34</v>
      </c>
      <c r="B54" s="158" t="s">
        <v>197</v>
      </c>
      <c r="C54" s="2">
        <v>100</v>
      </c>
      <c r="D54" s="3">
        <v>3.5</v>
      </c>
      <c r="E54" s="2">
        <f t="shared" si="11"/>
        <v>160</v>
      </c>
      <c r="F54" s="57" t="s">
        <v>206</v>
      </c>
      <c r="G54" s="25">
        <v>1</v>
      </c>
      <c r="H54" s="69">
        <v>0.28599999999999998</v>
      </c>
      <c r="I54" s="2">
        <v>61</v>
      </c>
      <c r="J54" s="2">
        <v>62.5</v>
      </c>
      <c r="K54" s="41">
        <v>55</v>
      </c>
      <c r="L54" s="58">
        <f>AVERAGE(318,335,349,335,259,260,250,304,375,317,320)</f>
        <v>311.09090909090907</v>
      </c>
      <c r="M54" s="2" t="s">
        <v>1072</v>
      </c>
      <c r="N54" s="58">
        <f>AVERAGE(485,400,550,610,598)</f>
        <v>528.6</v>
      </c>
      <c r="O54" s="2" t="s">
        <v>904</v>
      </c>
      <c r="P54" s="58">
        <v>432</v>
      </c>
      <c r="Q54" s="2" t="s">
        <v>1072</v>
      </c>
      <c r="R54" s="59" t="s">
        <v>30</v>
      </c>
      <c r="S54" s="74">
        <v>475</v>
      </c>
      <c r="T54" s="2" t="s">
        <v>967</v>
      </c>
      <c r="U54" s="59" t="s">
        <v>514</v>
      </c>
    </row>
    <row r="55" spans="1:21" ht="12.6" customHeight="1">
      <c r="A55" s="66" t="s">
        <v>34</v>
      </c>
      <c r="B55" s="158" t="s">
        <v>396</v>
      </c>
      <c r="C55" s="2">
        <v>100</v>
      </c>
      <c r="D55" s="3">
        <v>4</v>
      </c>
      <c r="E55" s="2">
        <f t="shared" si="11"/>
        <v>160</v>
      </c>
      <c r="F55" s="57" t="s">
        <v>206</v>
      </c>
      <c r="G55" s="25" t="s">
        <v>31</v>
      </c>
      <c r="H55" s="69">
        <v>0.28000000000000003</v>
      </c>
      <c r="I55" s="2">
        <v>48.5</v>
      </c>
      <c r="J55" s="2">
        <v>62.5</v>
      </c>
      <c r="K55" s="41">
        <v>55</v>
      </c>
      <c r="L55" s="58">
        <f>AVERAGE(0)</f>
        <v>0</v>
      </c>
      <c r="M55" s="2" t="s">
        <v>16</v>
      </c>
      <c r="N55" s="58">
        <f>AVERAGE(0)</f>
        <v>0</v>
      </c>
      <c r="O55" s="2" t="s">
        <v>16</v>
      </c>
      <c r="P55" s="58" t="s">
        <v>16</v>
      </c>
      <c r="Q55" s="2" t="s">
        <v>16</v>
      </c>
      <c r="R55" s="59" t="s">
        <v>16</v>
      </c>
      <c r="S55" s="74">
        <v>2000</v>
      </c>
      <c r="T55" s="2" t="s">
        <v>772</v>
      </c>
      <c r="U55" s="59" t="s">
        <v>514</v>
      </c>
    </row>
    <row r="56" spans="1:21" ht="12.6" customHeight="1">
      <c r="A56" s="66" t="s">
        <v>34</v>
      </c>
      <c r="B56" s="158" t="s">
        <v>184</v>
      </c>
      <c r="C56" s="2">
        <v>135</v>
      </c>
      <c r="D56" s="3">
        <v>2</v>
      </c>
      <c r="E56" s="2">
        <f t="shared" si="11"/>
        <v>216</v>
      </c>
      <c r="F56" s="57" t="s">
        <v>206</v>
      </c>
      <c r="G56" s="25">
        <v>1.5</v>
      </c>
      <c r="H56" s="69">
        <v>0.79</v>
      </c>
      <c r="I56" s="2">
        <v>101</v>
      </c>
      <c r="J56" s="2">
        <v>75</v>
      </c>
      <c r="K56" s="41">
        <v>72</v>
      </c>
      <c r="L56" s="58">
        <f>AVERAGE(888,689,709,700,794,695,910,1100,999)</f>
        <v>831.55555555555554</v>
      </c>
      <c r="M56" s="2" t="s">
        <v>1072</v>
      </c>
      <c r="N56" s="58">
        <f>AVERAGE(1028,1335,1148,1245,1380,1125,1116,1380,1398,1100,1290)</f>
        <v>1231.3636363636363</v>
      </c>
      <c r="O56" s="2" t="s">
        <v>1013</v>
      </c>
      <c r="P56" s="58">
        <v>1600</v>
      </c>
      <c r="Q56" s="2" t="s">
        <v>967</v>
      </c>
      <c r="R56" s="59" t="s">
        <v>514</v>
      </c>
      <c r="S56" s="74">
        <v>2100</v>
      </c>
      <c r="T56" s="2" t="s">
        <v>967</v>
      </c>
      <c r="U56" s="59" t="s">
        <v>514</v>
      </c>
    </row>
    <row r="57" spans="1:21" ht="12.6" customHeight="1">
      <c r="A57" s="60" t="s">
        <v>34</v>
      </c>
      <c r="B57" s="60" t="s">
        <v>196</v>
      </c>
      <c r="C57" s="27">
        <v>135</v>
      </c>
      <c r="D57" s="64">
        <v>2.8</v>
      </c>
      <c r="E57" s="27">
        <f t="shared" si="11"/>
        <v>216</v>
      </c>
      <c r="F57" s="62" t="s">
        <v>206</v>
      </c>
      <c r="G57" s="50">
        <v>1.6</v>
      </c>
      <c r="H57" s="31">
        <v>0.58499999999999996</v>
      </c>
      <c r="I57" s="27">
        <v>93</v>
      </c>
      <c r="J57" s="27">
        <v>68.5</v>
      </c>
      <c r="K57" s="43">
        <v>55</v>
      </c>
      <c r="L57" s="52">
        <f>AVERAGE(235,245,205,138,210,204,215,236,164,171)</f>
        <v>202.3</v>
      </c>
      <c r="M57" s="27" t="s">
        <v>1072</v>
      </c>
      <c r="N57" s="52">
        <f>AVERAGE(279,210,264,375,317,360,448,310,291)</f>
        <v>317.11111111111109</v>
      </c>
      <c r="O57" s="43" t="s">
        <v>1072</v>
      </c>
      <c r="P57" s="52">
        <v>248</v>
      </c>
      <c r="Q57" s="27" t="s">
        <v>1072</v>
      </c>
      <c r="R57" s="43" t="s">
        <v>30</v>
      </c>
      <c r="S57" s="52">
        <v>325</v>
      </c>
      <c r="T57" s="27" t="s">
        <v>1072</v>
      </c>
      <c r="U57" s="43" t="s">
        <v>29</v>
      </c>
    </row>
    <row r="58" spans="1:21" ht="12.6" customHeight="1">
      <c r="A58" s="66" t="s">
        <v>34</v>
      </c>
      <c r="B58" s="158" t="s">
        <v>193</v>
      </c>
      <c r="C58" s="2">
        <v>180</v>
      </c>
      <c r="D58" s="3">
        <v>2.8</v>
      </c>
      <c r="E58" s="2">
        <f t="shared" si="11"/>
        <v>288</v>
      </c>
      <c r="F58" s="57" t="s">
        <v>206</v>
      </c>
      <c r="G58" s="25">
        <v>1.4</v>
      </c>
      <c r="H58" s="69">
        <v>0.98499999999999999</v>
      </c>
      <c r="I58" s="2">
        <v>131</v>
      </c>
      <c r="J58" s="2">
        <v>82</v>
      </c>
      <c r="K58" s="41">
        <v>72</v>
      </c>
      <c r="L58" s="58">
        <f>AVERAGE(270,308,288,340,257,288,379,355,345,315,398)</f>
        <v>322.09090909090907</v>
      </c>
      <c r="M58" s="2" t="s">
        <v>1072</v>
      </c>
      <c r="N58" s="58">
        <f>AVERAGE(400,580,486)</f>
        <v>488.66666666666669</v>
      </c>
      <c r="O58" s="2" t="s">
        <v>917</v>
      </c>
      <c r="P58" s="58">
        <v>402</v>
      </c>
      <c r="Q58" s="2" t="s">
        <v>1045</v>
      </c>
      <c r="R58" s="59" t="s">
        <v>30</v>
      </c>
      <c r="S58" s="74">
        <v>425</v>
      </c>
      <c r="T58" s="2" t="s">
        <v>1072</v>
      </c>
      <c r="U58" s="59" t="s">
        <v>28</v>
      </c>
    </row>
    <row r="59" spans="1:21" ht="12.6" customHeight="1">
      <c r="A59" s="66" t="s">
        <v>34</v>
      </c>
      <c r="B59" s="158" t="s">
        <v>198</v>
      </c>
      <c r="C59" s="2">
        <v>200</v>
      </c>
      <c r="D59" s="3">
        <v>2</v>
      </c>
      <c r="E59" s="2">
        <f t="shared" si="11"/>
        <v>320</v>
      </c>
      <c r="F59" s="57" t="s">
        <v>206</v>
      </c>
      <c r="G59" s="25">
        <v>1.8</v>
      </c>
      <c r="H59" s="69">
        <v>2.6</v>
      </c>
      <c r="I59" s="2">
        <v>182</v>
      </c>
      <c r="J59" s="2">
        <v>123</v>
      </c>
      <c r="K59" s="41">
        <v>111</v>
      </c>
      <c r="L59" s="58">
        <f>AVERAGE(0)</f>
        <v>0</v>
      </c>
      <c r="M59" s="2" t="s">
        <v>16</v>
      </c>
      <c r="N59" s="58">
        <f>AVERAGE(4980,4995,4979)</f>
        <v>4984.666666666667</v>
      </c>
      <c r="O59" s="2" t="s">
        <v>917</v>
      </c>
      <c r="P59" s="58">
        <v>4999</v>
      </c>
      <c r="Q59" s="2" t="s">
        <v>917</v>
      </c>
      <c r="R59" s="59" t="s">
        <v>30</v>
      </c>
      <c r="S59" s="74">
        <v>4995</v>
      </c>
      <c r="T59" s="2" t="s">
        <v>970</v>
      </c>
      <c r="U59" s="59" t="s">
        <v>29</v>
      </c>
    </row>
    <row r="60" spans="1:21" ht="12.6" customHeight="1">
      <c r="A60" s="66" t="s">
        <v>34</v>
      </c>
      <c r="B60" s="158" t="s">
        <v>192</v>
      </c>
      <c r="C60" s="2">
        <v>200</v>
      </c>
      <c r="D60" s="3">
        <v>3.5</v>
      </c>
      <c r="E60" s="2">
        <f t="shared" si="11"/>
        <v>320</v>
      </c>
      <c r="F60" s="57" t="s">
        <v>206</v>
      </c>
      <c r="G60" s="25">
        <v>1.8</v>
      </c>
      <c r="H60" s="69">
        <v>0.78</v>
      </c>
      <c r="I60" s="2">
        <v>122</v>
      </c>
      <c r="J60" s="2">
        <v>77.5</v>
      </c>
      <c r="K60" s="41">
        <v>67</v>
      </c>
      <c r="L60" s="58">
        <f>AVERAGE(145,150,121,151,171,197,178,200,197,196)</f>
        <v>170.6</v>
      </c>
      <c r="M60" s="2" t="s">
        <v>1072</v>
      </c>
      <c r="N60" s="58">
        <f>AVERAGE(248,257,259,248,358,245,295,313,243,250)</f>
        <v>271.60000000000002</v>
      </c>
      <c r="O60" s="2" t="s">
        <v>973</v>
      </c>
      <c r="P60" s="58">
        <v>168</v>
      </c>
      <c r="Q60" s="2" t="s">
        <v>1072</v>
      </c>
      <c r="R60" s="59" t="s">
        <v>30</v>
      </c>
      <c r="S60" s="74">
        <v>325</v>
      </c>
      <c r="T60" s="2" t="s">
        <v>772</v>
      </c>
      <c r="U60" s="59" t="s">
        <v>514</v>
      </c>
    </row>
    <row r="61" spans="1:21" ht="12.6" customHeight="1">
      <c r="A61" s="60" t="s">
        <v>34</v>
      </c>
      <c r="B61" s="60" t="s">
        <v>195</v>
      </c>
      <c r="C61" s="27">
        <v>200</v>
      </c>
      <c r="D61" s="64">
        <v>4</v>
      </c>
      <c r="E61" s="27">
        <f t="shared" si="11"/>
        <v>320</v>
      </c>
      <c r="F61" s="62" t="s">
        <v>206</v>
      </c>
      <c r="G61" s="50">
        <v>2</v>
      </c>
      <c r="H61" s="31">
        <v>0.55000000000000004</v>
      </c>
      <c r="I61" s="27">
        <v>120.7</v>
      </c>
      <c r="J61" s="27">
        <v>66</v>
      </c>
      <c r="K61" s="43">
        <v>55</v>
      </c>
      <c r="L61" s="52">
        <f>AVERAGE(150,135,173,191,203,189,149,141,170,191,191)</f>
        <v>171.18181818181819</v>
      </c>
      <c r="M61" s="27" t="s">
        <v>1047</v>
      </c>
      <c r="N61" s="52">
        <f>AVERAGE(193,250,378,235,285,262,255,255)</f>
        <v>264.125</v>
      </c>
      <c r="O61" s="43" t="s">
        <v>1047</v>
      </c>
      <c r="P61" s="52">
        <f>229*CA.US</f>
        <v>160.29999999999998</v>
      </c>
      <c r="Q61" s="27" t="s">
        <v>981</v>
      </c>
      <c r="R61" s="43" t="s">
        <v>758</v>
      </c>
      <c r="S61" s="52">
        <v>450</v>
      </c>
      <c r="T61" s="27" t="s">
        <v>708</v>
      </c>
      <c r="U61" s="43" t="s">
        <v>35</v>
      </c>
    </row>
    <row r="62" spans="1:21" ht="12.6" customHeight="1">
      <c r="A62" s="66" t="s">
        <v>34</v>
      </c>
      <c r="B62" s="158" t="s">
        <v>363</v>
      </c>
      <c r="C62" s="2">
        <v>300</v>
      </c>
      <c r="D62" s="3">
        <v>2.8</v>
      </c>
      <c r="E62" s="2">
        <f t="shared" si="11"/>
        <v>480</v>
      </c>
      <c r="F62" s="57" t="s">
        <v>206</v>
      </c>
      <c r="G62" s="25">
        <v>3.5</v>
      </c>
      <c r="H62" s="69">
        <v>2.73</v>
      </c>
      <c r="I62" s="2">
        <v>244</v>
      </c>
      <c r="J62" s="2">
        <v>120</v>
      </c>
      <c r="K62" s="41">
        <v>111</v>
      </c>
      <c r="L62" s="58">
        <f>AVERAGE(0)</f>
        <v>0</v>
      </c>
      <c r="M62" s="11" t="s">
        <v>16</v>
      </c>
      <c r="N62" s="58">
        <f>AVERAGE(8000)</f>
        <v>8000</v>
      </c>
      <c r="O62" s="11" t="s">
        <v>1045</v>
      </c>
      <c r="P62" s="58" t="s">
        <v>16</v>
      </c>
      <c r="Q62" s="2" t="s">
        <v>16</v>
      </c>
      <c r="R62" s="59" t="s">
        <v>16</v>
      </c>
      <c r="S62" s="74">
        <v>14000</v>
      </c>
      <c r="T62" s="2" t="s">
        <v>967</v>
      </c>
      <c r="U62" s="59" t="s">
        <v>514</v>
      </c>
    </row>
    <row r="63" spans="1:21" ht="12.6" customHeight="1">
      <c r="A63" s="66" t="s">
        <v>34</v>
      </c>
      <c r="B63" s="158" t="s">
        <v>914</v>
      </c>
      <c r="C63" s="2">
        <v>300</v>
      </c>
      <c r="D63" s="3">
        <v>4</v>
      </c>
      <c r="E63" s="2">
        <f t="shared" si="11"/>
        <v>480</v>
      </c>
      <c r="F63" s="57" t="s">
        <v>206</v>
      </c>
      <c r="G63" s="25">
        <v>3.5</v>
      </c>
      <c r="H63" s="69">
        <v>1.2</v>
      </c>
      <c r="I63" s="2">
        <v>205</v>
      </c>
      <c r="J63" s="2">
        <v>88</v>
      </c>
      <c r="K63" s="41">
        <v>82</v>
      </c>
      <c r="L63" s="58">
        <f>AVERAGE(269,335,299,275,385,298,305,318,311)</f>
        <v>310.55555555555554</v>
      </c>
      <c r="M63" s="41" t="s">
        <v>1072</v>
      </c>
      <c r="N63" s="58">
        <f>AVERAGE(414,400,414,575,560,486)</f>
        <v>474.83333333333331</v>
      </c>
      <c r="O63" s="11" t="s">
        <v>1047</v>
      </c>
      <c r="P63" s="58">
        <v>339</v>
      </c>
      <c r="Q63" s="2" t="s">
        <v>1072</v>
      </c>
      <c r="R63" s="59" t="s">
        <v>30</v>
      </c>
      <c r="S63" s="74" t="s">
        <v>16</v>
      </c>
      <c r="T63" s="2" t="s">
        <v>16</v>
      </c>
      <c r="U63" s="59" t="s">
        <v>16</v>
      </c>
    </row>
    <row r="64" spans="1:21" ht="12.6" customHeight="1">
      <c r="A64" s="66" t="s">
        <v>34</v>
      </c>
      <c r="B64" s="158" t="s">
        <v>364</v>
      </c>
      <c r="C64" s="2">
        <v>500</v>
      </c>
      <c r="D64" s="3">
        <v>5.6</v>
      </c>
      <c r="E64" s="2">
        <f t="shared" si="11"/>
        <v>800</v>
      </c>
      <c r="F64" s="57" t="s">
        <v>206</v>
      </c>
      <c r="G64" s="25">
        <v>4.9000000000000004</v>
      </c>
      <c r="H64" s="69">
        <v>1.865</v>
      </c>
      <c r="I64" s="2">
        <v>290</v>
      </c>
      <c r="J64" s="2">
        <v>112</v>
      </c>
      <c r="K64" s="41" t="s">
        <v>366</v>
      </c>
      <c r="L64" s="58">
        <f>AVERAGE(0)</f>
        <v>0</v>
      </c>
      <c r="M64" s="11" t="s">
        <v>16</v>
      </c>
      <c r="N64" s="58">
        <f>AVERAGE(0)</f>
        <v>0</v>
      </c>
      <c r="O64" s="11" t="s">
        <v>16</v>
      </c>
      <c r="P64" s="58" t="s">
        <v>16</v>
      </c>
      <c r="Q64" s="2" t="s">
        <v>16</v>
      </c>
      <c r="R64" s="59" t="s">
        <v>16</v>
      </c>
      <c r="S64" s="74" t="s">
        <v>16</v>
      </c>
      <c r="T64" s="2" t="s">
        <v>16</v>
      </c>
      <c r="U64" s="59" t="s">
        <v>16</v>
      </c>
    </row>
    <row r="65" spans="1:21" ht="12.6" customHeight="1">
      <c r="A65" s="60" t="s">
        <v>34</v>
      </c>
      <c r="B65" s="60" t="s">
        <v>365</v>
      </c>
      <c r="C65" s="27">
        <v>800</v>
      </c>
      <c r="D65" s="64">
        <v>8</v>
      </c>
      <c r="E65" s="27">
        <f t="shared" si="11"/>
        <v>1280</v>
      </c>
      <c r="F65" s="62" t="s">
        <v>206</v>
      </c>
      <c r="G65" s="50">
        <v>4</v>
      </c>
      <c r="H65" s="31">
        <v>3.25</v>
      </c>
      <c r="I65" s="27">
        <v>505</v>
      </c>
      <c r="J65" s="27">
        <v>128.5</v>
      </c>
      <c r="K65" s="43" t="s">
        <v>366</v>
      </c>
      <c r="L65" s="52">
        <f>AVERAGE(0)</f>
        <v>0</v>
      </c>
      <c r="M65" s="27" t="s">
        <v>16</v>
      </c>
      <c r="N65" s="52">
        <f>AVERAGE(0)</f>
        <v>0</v>
      </c>
      <c r="O65" s="43" t="s">
        <v>16</v>
      </c>
      <c r="P65" s="52" t="s">
        <v>16</v>
      </c>
      <c r="Q65" s="27" t="s">
        <v>16</v>
      </c>
      <c r="R65" s="43" t="s">
        <v>16</v>
      </c>
      <c r="S65" s="52" t="s">
        <v>16</v>
      </c>
      <c r="T65" s="27" t="s">
        <v>16</v>
      </c>
      <c r="U65" s="43" t="s">
        <v>16</v>
      </c>
    </row>
    <row r="66" spans="1:21" ht="12.6" customHeight="1">
      <c r="A66" s="66" t="s">
        <v>34</v>
      </c>
      <c r="B66" s="66" t="s">
        <v>189</v>
      </c>
      <c r="C66" s="2" t="s">
        <v>65</v>
      </c>
      <c r="D66" s="3" t="s">
        <v>88</v>
      </c>
      <c r="E66" s="2" t="s">
        <v>111</v>
      </c>
      <c r="F66" s="57" t="s">
        <v>206</v>
      </c>
      <c r="G66" s="68">
        <v>0.5</v>
      </c>
      <c r="H66" s="69">
        <v>0.32</v>
      </c>
      <c r="I66" s="2">
        <v>68</v>
      </c>
      <c r="J66" s="2">
        <v>70</v>
      </c>
      <c r="K66" s="41">
        <v>67</v>
      </c>
      <c r="L66" s="58">
        <f>AVERAGE(249,208,203,203,280,225,221,239,212)</f>
        <v>226.66666666666666</v>
      </c>
      <c r="M66" s="2" t="s">
        <v>981</v>
      </c>
      <c r="N66" s="58">
        <f>AVERAGE(250,274,339,268,300,338,325,328)</f>
        <v>302.75</v>
      </c>
      <c r="O66" s="2" t="s">
        <v>1072</v>
      </c>
      <c r="P66" s="58" t="s">
        <v>16</v>
      </c>
      <c r="Q66" s="2" t="s">
        <v>16</v>
      </c>
      <c r="R66" s="59" t="s">
        <v>16</v>
      </c>
      <c r="S66" s="74">
        <v>300</v>
      </c>
      <c r="T66" s="2" t="s">
        <v>1072</v>
      </c>
      <c r="U66" s="59" t="s">
        <v>32</v>
      </c>
    </row>
    <row r="67" spans="1:21" ht="12.6" customHeight="1">
      <c r="A67" s="66" t="s">
        <v>34</v>
      </c>
      <c r="B67" s="66" t="s">
        <v>180</v>
      </c>
      <c r="C67" s="2" t="s">
        <v>181</v>
      </c>
      <c r="D67" s="3" t="s">
        <v>182</v>
      </c>
      <c r="E67" s="2" t="s">
        <v>183</v>
      </c>
      <c r="F67" s="57" t="s">
        <v>206</v>
      </c>
      <c r="G67" s="68">
        <v>0.61</v>
      </c>
      <c r="H67" s="69">
        <v>0.74</v>
      </c>
      <c r="I67" s="2">
        <v>99</v>
      </c>
      <c r="J67" s="2">
        <v>86</v>
      </c>
      <c r="K67" s="41">
        <v>82</v>
      </c>
      <c r="L67" s="58">
        <f>AVERAGE(299,299,289,330,349,300,350,360,366)</f>
        <v>326.88888888888891</v>
      </c>
      <c r="M67" s="2" t="s">
        <v>1072</v>
      </c>
      <c r="N67" s="58">
        <f>AVERAGE(390,397,439,418,358,449,519,478,450)</f>
        <v>433.11111111111109</v>
      </c>
      <c r="O67" s="2" t="s">
        <v>1072</v>
      </c>
      <c r="P67" s="58">
        <v>499</v>
      </c>
      <c r="Q67" s="2" t="s">
        <v>1072</v>
      </c>
      <c r="R67" s="59" t="s">
        <v>30</v>
      </c>
      <c r="S67" s="74">
        <v>650</v>
      </c>
      <c r="T67" s="2" t="s">
        <v>917</v>
      </c>
      <c r="U67" s="59" t="s">
        <v>32</v>
      </c>
    </row>
    <row r="68" spans="1:21" ht="12.6" customHeight="1">
      <c r="A68" s="66" t="s">
        <v>34</v>
      </c>
      <c r="B68" s="66" t="s">
        <v>207</v>
      </c>
      <c r="C68" s="2" t="s">
        <v>134</v>
      </c>
      <c r="D68" s="3">
        <v>3.4</v>
      </c>
      <c r="E68" s="2" t="s">
        <v>188</v>
      </c>
      <c r="F68" s="57" t="s">
        <v>206</v>
      </c>
      <c r="G68" s="68">
        <v>0.25</v>
      </c>
      <c r="H68" s="69">
        <v>0.47499999999999998</v>
      </c>
      <c r="I68" s="2">
        <v>80.5</v>
      </c>
      <c r="J68" s="2">
        <v>70</v>
      </c>
      <c r="K68" s="41">
        <v>67</v>
      </c>
      <c r="L68" s="58">
        <f>AVERAGE(319,317,299,350,355,320,359,319,350)</f>
        <v>332</v>
      </c>
      <c r="M68" s="2" t="s">
        <v>1072</v>
      </c>
      <c r="N68" s="58">
        <f>AVERAGE(450,500,460,529,480,469,520,529,529)</f>
        <v>496.22222222222223</v>
      </c>
      <c r="O68" s="2" t="s">
        <v>1010</v>
      </c>
      <c r="P68" s="58">
        <v>550</v>
      </c>
      <c r="Q68" s="2" t="s">
        <v>917</v>
      </c>
      <c r="R68" s="59" t="s">
        <v>30</v>
      </c>
      <c r="S68" s="74">
        <v>665</v>
      </c>
      <c r="T68" s="2" t="s">
        <v>772</v>
      </c>
      <c r="U68" s="59" t="s">
        <v>30</v>
      </c>
    </row>
    <row r="69" spans="1:21" ht="12.6" customHeight="1">
      <c r="A69" s="66" t="s">
        <v>34</v>
      </c>
      <c r="B69" s="66" t="s">
        <v>220</v>
      </c>
      <c r="C69" s="2" t="s">
        <v>185</v>
      </c>
      <c r="D69" s="3" t="s">
        <v>182</v>
      </c>
      <c r="E69" s="2" t="s">
        <v>186</v>
      </c>
      <c r="F69" s="57" t="s">
        <v>206</v>
      </c>
      <c r="G69" s="68">
        <v>0.26</v>
      </c>
      <c r="H69" s="69">
        <v>0.73499999999999999</v>
      </c>
      <c r="I69" s="2">
        <v>107</v>
      </c>
      <c r="J69" s="2">
        <v>85</v>
      </c>
      <c r="K69" s="41">
        <v>82</v>
      </c>
      <c r="L69" s="2">
        <f>AVERAGE(649,695,772,690,779,725)</f>
        <v>718.33333333333337</v>
      </c>
      <c r="M69" s="2" t="s">
        <v>1047</v>
      </c>
      <c r="N69" s="58">
        <f>AVERAGE(820,699,880,970,948,1000,905,885)</f>
        <v>888.375</v>
      </c>
      <c r="O69" s="2" t="s">
        <v>1072</v>
      </c>
      <c r="P69" s="58">
        <v>1011</v>
      </c>
      <c r="Q69" s="2" t="s">
        <v>1045</v>
      </c>
      <c r="R69" s="59" t="s">
        <v>30</v>
      </c>
      <c r="S69" s="74">
        <v>1400</v>
      </c>
      <c r="T69" s="2" t="s">
        <v>967</v>
      </c>
      <c r="U69" s="59" t="s">
        <v>514</v>
      </c>
    </row>
    <row r="70" spans="1:21" ht="12.6" customHeight="1">
      <c r="A70" s="66" t="s">
        <v>34</v>
      </c>
      <c r="B70" s="66" t="s">
        <v>240</v>
      </c>
      <c r="C70" s="2" t="s">
        <v>241</v>
      </c>
      <c r="D70" s="3">
        <v>3.5</v>
      </c>
      <c r="E70" s="2" t="s">
        <v>242</v>
      </c>
      <c r="F70" s="57" t="s">
        <v>206</v>
      </c>
      <c r="G70" s="68">
        <v>1.2</v>
      </c>
      <c r="H70" s="69">
        <v>0.66</v>
      </c>
      <c r="I70" s="2">
        <v>87</v>
      </c>
      <c r="J70" s="2">
        <v>67</v>
      </c>
      <c r="K70" s="41">
        <v>55</v>
      </c>
      <c r="L70" s="2">
        <f>AVERAGE(171,219,230,206,180,171,195,203,220,175,200)</f>
        <v>197.27272727272728</v>
      </c>
      <c r="M70" s="2" t="s">
        <v>1072</v>
      </c>
      <c r="N70" s="58">
        <f>AVERAGE(199,190)</f>
        <v>194.5</v>
      </c>
      <c r="O70" s="2" t="s">
        <v>1045</v>
      </c>
      <c r="P70" s="58">
        <v>290</v>
      </c>
      <c r="Q70" s="2" t="s">
        <v>917</v>
      </c>
      <c r="R70" s="59" t="s">
        <v>30</v>
      </c>
      <c r="S70" s="74">
        <v>400</v>
      </c>
      <c r="T70" s="2" t="s">
        <v>772</v>
      </c>
      <c r="U70" s="59" t="s">
        <v>514</v>
      </c>
    </row>
    <row r="71" spans="1:21" ht="12.6" customHeight="1">
      <c r="A71" s="66" t="s">
        <v>34</v>
      </c>
      <c r="B71" s="66" t="s">
        <v>190</v>
      </c>
      <c r="C71" s="2" t="s">
        <v>128</v>
      </c>
      <c r="D71" s="3">
        <v>3.5</v>
      </c>
      <c r="E71" s="16" t="s">
        <v>191</v>
      </c>
      <c r="F71" s="57" t="s">
        <v>206</v>
      </c>
      <c r="G71" s="79">
        <v>1.8</v>
      </c>
      <c r="H71" s="80">
        <v>1.145</v>
      </c>
      <c r="I71" s="76">
        <v>186</v>
      </c>
      <c r="J71" s="76">
        <v>77</v>
      </c>
      <c r="K71" s="81">
        <v>67</v>
      </c>
      <c r="L71" s="2">
        <f>AVERAGE(789,718,650,1025,811,950,732,799,898)</f>
        <v>819.11111111111109</v>
      </c>
      <c r="M71" s="2" t="s">
        <v>1072</v>
      </c>
      <c r="N71" s="58">
        <f>AVERAGE(1250,1380,1000,1229,1085,1135,1275,1227,1198,1196)</f>
        <v>1197.5</v>
      </c>
      <c r="O71" s="2" t="s">
        <v>981</v>
      </c>
      <c r="P71" s="58">
        <v>1080</v>
      </c>
      <c r="Q71" s="2" t="s">
        <v>1072</v>
      </c>
      <c r="R71" s="59" t="s">
        <v>30</v>
      </c>
      <c r="S71" s="74">
        <v>1500</v>
      </c>
      <c r="T71" s="2" t="s">
        <v>917</v>
      </c>
      <c r="U71" s="59" t="s">
        <v>32</v>
      </c>
    </row>
    <row r="72" spans="1:21" ht="12.6" customHeight="1">
      <c r="A72" s="66" t="s">
        <v>34</v>
      </c>
      <c r="B72" s="66" t="s">
        <v>187</v>
      </c>
      <c r="C72" s="2" t="s">
        <v>76</v>
      </c>
      <c r="D72" s="3">
        <v>4</v>
      </c>
      <c r="E72" s="2" t="s">
        <v>77</v>
      </c>
      <c r="F72" s="57" t="s">
        <v>206</v>
      </c>
      <c r="G72" s="68">
        <v>1</v>
      </c>
      <c r="H72" s="69">
        <v>0.68</v>
      </c>
      <c r="I72" s="2">
        <v>160.5</v>
      </c>
      <c r="J72" s="2">
        <v>67</v>
      </c>
      <c r="K72" s="41">
        <v>55</v>
      </c>
      <c r="L72" s="2">
        <f>AVERAGE(218,180,249,198,229,200,199,195,205)</f>
        <v>208.11111111111111</v>
      </c>
      <c r="M72" s="2" t="s">
        <v>1072</v>
      </c>
      <c r="N72" s="58">
        <f>AVERAGE(265,270,310,325,285,320,284)</f>
        <v>294.14285714285717</v>
      </c>
      <c r="O72" s="2" t="s">
        <v>1072</v>
      </c>
      <c r="P72" s="58">
        <v>328</v>
      </c>
      <c r="Q72" s="2" t="s">
        <v>1045</v>
      </c>
      <c r="R72" s="59" t="s">
        <v>30</v>
      </c>
      <c r="S72" s="74">
        <v>400</v>
      </c>
      <c r="T72" s="2" t="s">
        <v>967</v>
      </c>
      <c r="U72" s="59" t="s">
        <v>514</v>
      </c>
    </row>
    <row r="73" spans="1:21" ht="12.6" customHeight="1">
      <c r="A73" s="60" t="s">
        <v>34</v>
      </c>
      <c r="B73" s="60" t="s">
        <v>221</v>
      </c>
      <c r="C73" s="27" t="s">
        <v>91</v>
      </c>
      <c r="D73" s="64" t="s">
        <v>94</v>
      </c>
      <c r="E73" s="27" t="s">
        <v>92</v>
      </c>
      <c r="F73" s="62" t="s">
        <v>206</v>
      </c>
      <c r="G73" s="50">
        <v>1.5</v>
      </c>
      <c r="H73" s="31">
        <v>0.92500000000000004</v>
      </c>
      <c r="I73" s="27">
        <v>143</v>
      </c>
      <c r="J73" s="27">
        <v>70</v>
      </c>
      <c r="K73" s="43">
        <v>67</v>
      </c>
      <c r="L73" s="27">
        <f>AVERAGE(789,750,820,842,810,789,868,792,815,810)</f>
        <v>808.5</v>
      </c>
      <c r="M73" s="61" t="s">
        <v>1072</v>
      </c>
      <c r="N73" s="52">
        <f>AVERAGE(980,927,970,970,949,969,933,900,960)</f>
        <v>950.88888888888891</v>
      </c>
      <c r="O73" s="61" t="s">
        <v>1047</v>
      </c>
      <c r="P73" s="52">
        <v>880</v>
      </c>
      <c r="Q73" s="27" t="s">
        <v>1045</v>
      </c>
      <c r="R73" s="43" t="s">
        <v>30</v>
      </c>
      <c r="S73" s="52">
        <v>1270</v>
      </c>
      <c r="T73" s="27" t="s">
        <v>631</v>
      </c>
      <c r="U73" s="43" t="s">
        <v>30</v>
      </c>
    </row>
    <row r="74" spans="1:21" s="17" customFormat="1" ht="12" customHeight="1">
      <c r="A74" s="97" t="s">
        <v>408</v>
      </c>
      <c r="B74" s="98"/>
      <c r="C74" s="34"/>
      <c r="D74" s="99"/>
      <c r="E74" s="34"/>
      <c r="F74" s="100"/>
      <c r="G74" s="101" t="s">
        <v>16</v>
      </c>
      <c r="H74" s="102" t="s">
        <v>16</v>
      </c>
      <c r="I74" s="34" t="s">
        <v>16</v>
      </c>
      <c r="J74" s="34" t="s">
        <v>16</v>
      </c>
      <c r="K74" s="34" t="s">
        <v>16</v>
      </c>
      <c r="L74" s="34" t="s">
        <v>16</v>
      </c>
      <c r="M74" s="34" t="s">
        <v>16</v>
      </c>
      <c r="N74" s="34" t="s">
        <v>16</v>
      </c>
      <c r="O74" s="34" t="s">
        <v>16</v>
      </c>
      <c r="P74" s="34" t="s">
        <v>16</v>
      </c>
      <c r="Q74" s="34" t="s">
        <v>16</v>
      </c>
      <c r="R74" s="34" t="s">
        <v>16</v>
      </c>
      <c r="S74" s="34" t="s">
        <v>16</v>
      </c>
      <c r="T74" s="34" t="s">
        <v>16</v>
      </c>
      <c r="U74" s="34" t="s">
        <v>16</v>
      </c>
    </row>
    <row r="75" spans="1:21" ht="12.6" customHeight="1">
      <c r="A75" s="66" t="s">
        <v>34</v>
      </c>
      <c r="B75" s="66" t="s">
        <v>357</v>
      </c>
      <c r="C75" s="2">
        <v>50</v>
      </c>
      <c r="D75" s="3">
        <v>1.4</v>
      </c>
      <c r="E75" s="2">
        <f>1.6*C75</f>
        <v>80</v>
      </c>
      <c r="F75" s="57" t="s">
        <v>355</v>
      </c>
      <c r="G75" s="68">
        <v>0.45</v>
      </c>
      <c r="H75" s="69">
        <v>0.31</v>
      </c>
      <c r="I75" s="2">
        <v>55</v>
      </c>
      <c r="J75" s="2">
        <v>80</v>
      </c>
      <c r="K75" s="72">
        <v>67</v>
      </c>
      <c r="L75" s="2">
        <f>AVERAGE(489,400,580,500,420,590,498,528,567,598)</f>
        <v>517</v>
      </c>
      <c r="M75" s="2" t="s">
        <v>1072</v>
      </c>
      <c r="N75" s="58">
        <f>AVERAGE(750,760,680,650,650,650,639)</f>
        <v>682.71428571428567</v>
      </c>
      <c r="O75" s="171" t="s">
        <v>1047</v>
      </c>
      <c r="P75" s="2">
        <v>540</v>
      </c>
      <c r="Q75" s="2" t="s">
        <v>1045</v>
      </c>
      <c r="R75" s="59" t="s">
        <v>30</v>
      </c>
      <c r="S75" s="74">
        <v>620</v>
      </c>
      <c r="T75" s="2" t="s">
        <v>1045</v>
      </c>
      <c r="U75" s="59" t="s">
        <v>30</v>
      </c>
    </row>
    <row r="76" spans="1:21" ht="12.6" customHeight="1">
      <c r="A76" s="66" t="s">
        <v>34</v>
      </c>
      <c r="B76" s="66" t="s">
        <v>358</v>
      </c>
      <c r="C76" s="2">
        <v>85</v>
      </c>
      <c r="D76" s="3">
        <v>1.4</v>
      </c>
      <c r="E76" s="2">
        <f>1.6*C76</f>
        <v>136</v>
      </c>
      <c r="F76" s="57" t="s">
        <v>355</v>
      </c>
      <c r="G76" s="68">
        <v>0.83</v>
      </c>
      <c r="H76" s="69">
        <v>0.8</v>
      </c>
      <c r="I76" s="2">
        <v>80</v>
      </c>
      <c r="J76" s="2">
        <v>90</v>
      </c>
      <c r="K76" s="2">
        <v>82</v>
      </c>
      <c r="L76" s="58">
        <f>AVERAGE(685)</f>
        <v>685</v>
      </c>
      <c r="M76" s="41" t="s">
        <v>772</v>
      </c>
      <c r="N76" s="58">
        <f>AVERAGE(1450,1400,1300,1369,1480,1399,1580,1415,1191,1500)</f>
        <v>1408.4</v>
      </c>
      <c r="O76" s="41" t="s">
        <v>1047</v>
      </c>
      <c r="P76" s="2">
        <v>1080</v>
      </c>
      <c r="Q76" s="2" t="s">
        <v>1045</v>
      </c>
      <c r="R76" s="59" t="s">
        <v>30</v>
      </c>
      <c r="S76" s="74">
        <v>1304</v>
      </c>
      <c r="T76" s="2" t="s">
        <v>878</v>
      </c>
      <c r="U76" s="59" t="s">
        <v>33</v>
      </c>
    </row>
    <row r="77" spans="1:21" ht="12.6" customHeight="1">
      <c r="A77" s="66" t="s">
        <v>34</v>
      </c>
      <c r="B77" s="66" t="s">
        <v>359</v>
      </c>
      <c r="C77" s="2">
        <v>100</v>
      </c>
      <c r="D77" s="3">
        <v>2.8</v>
      </c>
      <c r="E77" s="2">
        <f>1.6*C77</f>
        <v>160</v>
      </c>
      <c r="F77" s="57" t="s">
        <v>355</v>
      </c>
      <c r="G77" s="68">
        <v>0.32</v>
      </c>
      <c r="H77" s="69">
        <v>0.96</v>
      </c>
      <c r="I77" s="2">
        <v>130</v>
      </c>
      <c r="J77" s="2">
        <v>86</v>
      </c>
      <c r="K77" s="2">
        <v>72</v>
      </c>
      <c r="L77" s="58">
        <f>AVERAGE(527,510,519,630,625,605)</f>
        <v>569.33333333333337</v>
      </c>
      <c r="M77" s="41" t="s">
        <v>1072</v>
      </c>
      <c r="N77" s="58">
        <f>AVERAGE(690,778,748,800,635,670)</f>
        <v>720.16666666666663</v>
      </c>
      <c r="O77" s="41" t="s">
        <v>1072</v>
      </c>
      <c r="P77" s="2">
        <v>500</v>
      </c>
      <c r="Q77" s="2" t="s">
        <v>1045</v>
      </c>
      <c r="R77" s="59" t="s">
        <v>30</v>
      </c>
      <c r="S77" s="74">
        <v>800</v>
      </c>
      <c r="T77" s="2" t="s">
        <v>739</v>
      </c>
      <c r="U77" s="59" t="s">
        <v>32</v>
      </c>
    </row>
    <row r="78" spans="1:21" ht="12.6" customHeight="1">
      <c r="A78" s="60" t="s">
        <v>34</v>
      </c>
      <c r="B78" s="60" t="s">
        <v>361</v>
      </c>
      <c r="C78" s="27">
        <v>400</v>
      </c>
      <c r="D78" s="64">
        <v>4</v>
      </c>
      <c r="E78" s="27">
        <f>1.6*C78</f>
        <v>640</v>
      </c>
      <c r="F78" s="62" t="s">
        <v>355</v>
      </c>
      <c r="G78" s="50">
        <v>2.9</v>
      </c>
      <c r="H78" s="31">
        <v>3.58</v>
      </c>
      <c r="I78" s="27">
        <v>290</v>
      </c>
      <c r="J78" s="27">
        <v>120</v>
      </c>
      <c r="K78" s="27" t="s">
        <v>362</v>
      </c>
      <c r="L78" s="52">
        <f>AVERAGE(2450,2850,2899,2800)</f>
        <v>2749.75</v>
      </c>
      <c r="M78" s="43" t="s">
        <v>981</v>
      </c>
      <c r="N78" s="52">
        <f>AVERAGE(3500,3395,4639,3200)</f>
        <v>3683.5</v>
      </c>
      <c r="O78" s="43" t="s">
        <v>715</v>
      </c>
      <c r="P78" s="27" t="s">
        <v>16</v>
      </c>
      <c r="Q78" s="27" t="s">
        <v>16</v>
      </c>
      <c r="R78" s="43" t="s">
        <v>16</v>
      </c>
      <c r="S78" s="52" t="s">
        <v>16</v>
      </c>
      <c r="T78" s="27" t="s">
        <v>16</v>
      </c>
      <c r="U78" s="43" t="s">
        <v>16</v>
      </c>
    </row>
    <row r="79" spans="1:21" ht="12.6" customHeight="1">
      <c r="A79" s="66" t="s">
        <v>34</v>
      </c>
      <c r="B79" s="66" t="s">
        <v>360</v>
      </c>
      <c r="C79" s="2" t="s">
        <v>51</v>
      </c>
      <c r="D79" s="3">
        <v>2.8</v>
      </c>
      <c r="E79" s="2" t="s">
        <v>52</v>
      </c>
      <c r="F79" s="57" t="s">
        <v>355</v>
      </c>
      <c r="G79" s="68">
        <v>0.5</v>
      </c>
      <c r="H79" s="69">
        <v>0.9</v>
      </c>
      <c r="I79" s="2">
        <v>96</v>
      </c>
      <c r="J79" s="2">
        <v>102</v>
      </c>
      <c r="K79" s="72">
        <v>95</v>
      </c>
      <c r="L79" s="58">
        <f>AVERAGE(1098,1190,1250,1278,1298)</f>
        <v>1222.8</v>
      </c>
      <c r="M79" s="171" t="s">
        <v>1072</v>
      </c>
      <c r="N79" s="58">
        <f>AVERAGE(1498,1390,1358,1434,1550,1469,1420)</f>
        <v>1445.5714285714287</v>
      </c>
      <c r="O79" s="171" t="s">
        <v>1047</v>
      </c>
      <c r="P79" s="2">
        <v>1295</v>
      </c>
      <c r="Q79" s="2" t="s">
        <v>1045</v>
      </c>
      <c r="R79" s="59" t="s">
        <v>30</v>
      </c>
      <c r="S79" s="74" t="s">
        <v>16</v>
      </c>
      <c r="T79" s="2" t="s">
        <v>16</v>
      </c>
      <c r="U79" s="59" t="s">
        <v>16</v>
      </c>
    </row>
    <row r="80" spans="1:21" ht="12.6" customHeight="1">
      <c r="A80" s="66" t="s">
        <v>34</v>
      </c>
      <c r="B80" s="66" t="s">
        <v>680</v>
      </c>
      <c r="C80" s="2" t="s">
        <v>472</v>
      </c>
      <c r="D80" s="3" t="s">
        <v>88</v>
      </c>
      <c r="E80" s="2" t="s">
        <v>504</v>
      </c>
      <c r="F80" s="57" t="s">
        <v>355</v>
      </c>
      <c r="G80" s="68">
        <v>0.5</v>
      </c>
      <c r="H80" s="69">
        <v>0.56999999999999995</v>
      </c>
      <c r="I80" s="2">
        <v>71</v>
      </c>
      <c r="J80" s="2">
        <v>90</v>
      </c>
      <c r="K80" s="2">
        <v>82</v>
      </c>
      <c r="L80" s="58">
        <f>AVERAGE(322,332,359,371,355,355,356)</f>
        <v>350</v>
      </c>
      <c r="M80" s="41" t="s">
        <v>1045</v>
      </c>
      <c r="N80" s="58">
        <f>AVERAGE(499,499,449.5,450,500,504,718,511,499,540,500)</f>
        <v>515.40909090909088</v>
      </c>
      <c r="O80" s="171" t="s">
        <v>1072</v>
      </c>
      <c r="P80" s="2">
        <v>487</v>
      </c>
      <c r="Q80" s="2" t="s">
        <v>1072</v>
      </c>
      <c r="R80" s="59" t="s">
        <v>30</v>
      </c>
      <c r="S80" s="74">
        <v>550</v>
      </c>
      <c r="T80" s="2" t="s">
        <v>608</v>
      </c>
      <c r="U80" s="59" t="s">
        <v>33</v>
      </c>
    </row>
    <row r="81" spans="1:21" ht="12.6" customHeight="1">
      <c r="A81" s="60" t="s">
        <v>34</v>
      </c>
      <c r="B81" s="60" t="s">
        <v>558</v>
      </c>
      <c r="C81" s="27" t="s">
        <v>100</v>
      </c>
      <c r="D81" s="64" t="s">
        <v>101</v>
      </c>
      <c r="E81" s="27" t="s">
        <v>559</v>
      </c>
      <c r="F81" s="62" t="s">
        <v>355</v>
      </c>
      <c r="G81" s="50">
        <v>1.5</v>
      </c>
      <c r="H81" s="31">
        <v>1.07</v>
      </c>
      <c r="I81" s="27">
        <v>129</v>
      </c>
      <c r="J81" s="27">
        <v>88</v>
      </c>
      <c r="K81" s="27">
        <v>72</v>
      </c>
      <c r="L81" s="52">
        <f>AVERAGE(316,290,350,365,325,349,390,329,375,317)</f>
        <v>340.6</v>
      </c>
      <c r="M81" s="43" t="s">
        <v>1072</v>
      </c>
      <c r="N81" s="52">
        <f>AVERAGE(359,368,578,499,497,395)</f>
        <v>449.33333333333331</v>
      </c>
      <c r="O81" s="43" t="s">
        <v>1047</v>
      </c>
      <c r="P81" s="27">
        <v>300</v>
      </c>
      <c r="Q81" s="27" t="s">
        <v>1045</v>
      </c>
      <c r="R81" s="43" t="s">
        <v>30</v>
      </c>
      <c r="S81" s="52">
        <v>450</v>
      </c>
      <c r="T81" s="27" t="s">
        <v>1072</v>
      </c>
      <c r="U81" s="43" t="s">
        <v>32</v>
      </c>
    </row>
    <row r="82" spans="1:21" s="17" customFormat="1" ht="12.6" customHeight="1">
      <c r="A82" s="97" t="s">
        <v>734</v>
      </c>
      <c r="B82" s="98"/>
      <c r="C82" s="34"/>
      <c r="D82" s="99"/>
      <c r="E82" s="34"/>
      <c r="F82" s="100"/>
      <c r="G82" s="101" t="s">
        <v>16</v>
      </c>
      <c r="H82" s="102" t="s">
        <v>16</v>
      </c>
      <c r="I82" s="34" t="s">
        <v>16</v>
      </c>
      <c r="J82" s="34" t="s">
        <v>16</v>
      </c>
      <c r="K82" s="34" t="s">
        <v>16</v>
      </c>
      <c r="L82" s="34" t="s">
        <v>16</v>
      </c>
      <c r="M82" s="34" t="s">
        <v>16</v>
      </c>
      <c r="N82" s="34" t="s">
        <v>16</v>
      </c>
      <c r="O82" s="34" t="s">
        <v>16</v>
      </c>
      <c r="P82" s="34" t="s">
        <v>16</v>
      </c>
      <c r="Q82" s="34" t="s">
        <v>16</v>
      </c>
      <c r="R82" s="34" t="s">
        <v>16</v>
      </c>
      <c r="S82" s="34" t="s">
        <v>16</v>
      </c>
      <c r="T82" s="34" t="s">
        <v>16</v>
      </c>
      <c r="U82" s="34" t="s">
        <v>16</v>
      </c>
    </row>
    <row r="83" spans="1:21" ht="12.6" customHeight="1">
      <c r="A83" s="66" t="s">
        <v>34</v>
      </c>
      <c r="B83" s="66" t="s">
        <v>735</v>
      </c>
      <c r="C83" s="2">
        <v>50</v>
      </c>
      <c r="D83" s="3">
        <v>1.8</v>
      </c>
      <c r="E83" s="2">
        <f t="shared" ref="E83" si="12">1.6*C83</f>
        <v>80</v>
      </c>
      <c r="F83" s="57" t="s">
        <v>136</v>
      </c>
      <c r="G83" s="68"/>
      <c r="H83" s="69"/>
      <c r="I83" s="2"/>
      <c r="J83" s="2"/>
      <c r="K83" s="2"/>
      <c r="L83" s="58">
        <f>AVERAGE(485,445)</f>
        <v>465</v>
      </c>
      <c r="M83" s="41" t="s">
        <v>967</v>
      </c>
      <c r="N83" s="58">
        <f>AVERAGE(770,499,500,571,589,530,525,455,480,446)</f>
        <v>536.5</v>
      </c>
      <c r="O83" s="41" t="s">
        <v>1072</v>
      </c>
      <c r="P83" s="2"/>
      <c r="Q83" s="2"/>
      <c r="R83" s="59"/>
      <c r="S83" s="74"/>
      <c r="T83" s="2"/>
      <c r="U83" s="59"/>
    </row>
    <row r="84" spans="1:21" ht="12.6" customHeight="1">
      <c r="A84" s="60" t="s">
        <v>34</v>
      </c>
      <c r="B84" s="60" t="s">
        <v>1050</v>
      </c>
      <c r="C84" s="27">
        <v>80</v>
      </c>
      <c r="D84" s="64">
        <v>2.8</v>
      </c>
      <c r="E84" s="27">
        <f t="shared" ref="E84" si="13">1.6*C84</f>
        <v>128</v>
      </c>
      <c r="F84" s="62" t="s">
        <v>136</v>
      </c>
      <c r="G84" s="50">
        <v>0.8</v>
      </c>
      <c r="H84" s="31">
        <v>0.32</v>
      </c>
      <c r="I84" s="27">
        <v>63</v>
      </c>
      <c r="J84" s="27"/>
      <c r="K84" s="27">
        <v>58</v>
      </c>
      <c r="L84" s="52">
        <f>AVERAGE(391)</f>
        <v>391</v>
      </c>
      <c r="M84" s="43" t="s">
        <v>1072</v>
      </c>
      <c r="N84" s="52">
        <f>AVERAGE(0)</f>
        <v>0</v>
      </c>
      <c r="O84" s="43" t="s">
        <v>1072</v>
      </c>
      <c r="P84" s="27"/>
      <c r="Q84" s="27"/>
      <c r="R84" s="43"/>
      <c r="S84" s="52"/>
      <c r="T84" s="27"/>
      <c r="U84" s="43"/>
    </row>
    <row r="85" spans="1:21" s="17" customFormat="1" ht="12.6" customHeight="1">
      <c r="A85" s="97" t="s">
        <v>417</v>
      </c>
      <c r="B85" s="98"/>
      <c r="C85" s="34"/>
      <c r="D85" s="99"/>
      <c r="E85" s="34"/>
      <c r="F85" s="100"/>
      <c r="G85" s="101" t="s">
        <v>16</v>
      </c>
      <c r="H85" s="102" t="s">
        <v>16</v>
      </c>
      <c r="I85" s="34" t="s">
        <v>16</v>
      </c>
      <c r="J85" s="34" t="s">
        <v>16</v>
      </c>
      <c r="K85" s="34" t="s">
        <v>16</v>
      </c>
      <c r="L85" s="34" t="s">
        <v>16</v>
      </c>
      <c r="M85" s="34" t="s">
        <v>16</v>
      </c>
      <c r="N85" s="34" t="s">
        <v>16</v>
      </c>
      <c r="O85" s="34" t="s">
        <v>16</v>
      </c>
      <c r="P85" s="34" t="s">
        <v>16</v>
      </c>
      <c r="Q85" s="34" t="s">
        <v>16</v>
      </c>
      <c r="R85" s="34" t="s">
        <v>16</v>
      </c>
      <c r="S85" s="34" t="s">
        <v>16</v>
      </c>
      <c r="T85" s="34" t="s">
        <v>16</v>
      </c>
      <c r="U85" s="34" t="s">
        <v>16</v>
      </c>
    </row>
    <row r="86" spans="1:21" ht="12.6" customHeight="1">
      <c r="A86" s="66" t="s">
        <v>286</v>
      </c>
      <c r="B86" s="66" t="s">
        <v>751</v>
      </c>
      <c r="C86" s="2">
        <v>20</v>
      </c>
      <c r="D86" s="3">
        <v>2.8</v>
      </c>
      <c r="E86" s="2">
        <f t="shared" ref="E86:E97" si="14">1.6*C86</f>
        <v>32</v>
      </c>
      <c r="F86" s="57" t="s">
        <v>136</v>
      </c>
      <c r="G86" s="68">
        <v>0.19</v>
      </c>
      <c r="H86" s="69">
        <v>0.31</v>
      </c>
      <c r="I86" s="2">
        <v>47</v>
      </c>
      <c r="J86" s="2">
        <v>74</v>
      </c>
      <c r="K86" s="72">
        <v>67</v>
      </c>
      <c r="L86" s="2">
        <f>AVERAGE(340,389,361,359,305,340,395,322,324,355,333,325)</f>
        <v>345.66666666666669</v>
      </c>
      <c r="M86" s="16" t="s">
        <v>1072</v>
      </c>
      <c r="N86" s="58">
        <f>AVERAGE(449,400,439,500,451,413,449,410,529,390)</f>
        <v>443</v>
      </c>
      <c r="O86" s="171" t="s">
        <v>1072</v>
      </c>
      <c r="P86" s="2" t="s">
        <v>16</v>
      </c>
      <c r="Q86" s="2" t="s">
        <v>16</v>
      </c>
      <c r="R86" s="59" t="s">
        <v>16</v>
      </c>
      <c r="S86" s="74" t="s">
        <v>16</v>
      </c>
      <c r="T86" s="2" t="s">
        <v>16</v>
      </c>
      <c r="U86" s="59" t="s">
        <v>16</v>
      </c>
    </row>
    <row r="87" spans="1:21" ht="12.6" customHeight="1">
      <c r="A87" s="66" t="s">
        <v>286</v>
      </c>
      <c r="B87" s="66" t="s">
        <v>752</v>
      </c>
      <c r="C87" s="2">
        <v>20</v>
      </c>
      <c r="D87" s="3">
        <v>4</v>
      </c>
      <c r="E87" s="2">
        <f t="shared" si="14"/>
        <v>32</v>
      </c>
      <c r="F87" s="57" t="s">
        <v>136</v>
      </c>
      <c r="G87" s="68">
        <v>0.15</v>
      </c>
      <c r="H87" s="69">
        <v>0.33700000000000002</v>
      </c>
      <c r="I87" s="2">
        <v>49</v>
      </c>
      <c r="J87" s="2">
        <v>83</v>
      </c>
      <c r="K87" s="41">
        <v>77</v>
      </c>
      <c r="L87" s="58">
        <f>AVERAGE(225,250,210,235,290,280)</f>
        <v>248.33333333333334</v>
      </c>
      <c r="M87" s="2" t="s">
        <v>1072</v>
      </c>
      <c r="N87" s="58">
        <f>AVERAGE(429,397,350,400,355,313,338,345,370,363)</f>
        <v>366</v>
      </c>
      <c r="O87" s="2" t="s">
        <v>952</v>
      </c>
      <c r="P87" s="58" t="s">
        <v>16</v>
      </c>
      <c r="Q87" s="2" t="s">
        <v>16</v>
      </c>
      <c r="R87" s="41" t="s">
        <v>16</v>
      </c>
      <c r="S87" s="58" t="s">
        <v>16</v>
      </c>
      <c r="T87" s="2" t="s">
        <v>16</v>
      </c>
      <c r="U87" s="41" t="s">
        <v>16</v>
      </c>
    </row>
    <row r="88" spans="1:21" ht="12.6" customHeight="1">
      <c r="A88" s="66" t="s">
        <v>286</v>
      </c>
      <c r="B88" s="66" t="s">
        <v>808</v>
      </c>
      <c r="C88" s="2">
        <v>28</v>
      </c>
      <c r="D88" s="3">
        <v>2.8</v>
      </c>
      <c r="E88" s="2">
        <f t="shared" si="14"/>
        <v>44.800000000000004</v>
      </c>
      <c r="F88" s="57" t="s">
        <v>136</v>
      </c>
      <c r="G88" s="68">
        <v>0.3</v>
      </c>
      <c r="H88" s="69"/>
      <c r="I88" s="2">
        <v>60</v>
      </c>
      <c r="J88" s="172" t="s">
        <v>16</v>
      </c>
      <c r="K88" s="41">
        <v>49</v>
      </c>
      <c r="L88" s="58">
        <f>AVERAGE(125,82,100)</f>
        <v>102.33333333333333</v>
      </c>
      <c r="M88" s="11" t="s">
        <v>973</v>
      </c>
      <c r="N88" s="58">
        <f>AVERAGE(175,188,133)</f>
        <v>165.33333333333334</v>
      </c>
      <c r="O88" s="2" t="s">
        <v>917</v>
      </c>
      <c r="P88" s="58">
        <f>85*CA.US</f>
        <v>59.499999999999993</v>
      </c>
      <c r="Q88" s="2" t="s">
        <v>1045</v>
      </c>
      <c r="R88" s="41" t="s">
        <v>35</v>
      </c>
      <c r="S88" s="58"/>
      <c r="T88" s="2"/>
      <c r="U88" s="41"/>
    </row>
    <row r="89" spans="1:21" ht="12.6" customHeight="1">
      <c r="A89" s="66" t="s">
        <v>286</v>
      </c>
      <c r="B89" s="66" t="s">
        <v>753</v>
      </c>
      <c r="C89" s="2">
        <v>35</v>
      </c>
      <c r="D89" s="3">
        <v>2.4</v>
      </c>
      <c r="E89" s="2">
        <f t="shared" si="14"/>
        <v>56</v>
      </c>
      <c r="F89" s="57" t="s">
        <v>136</v>
      </c>
      <c r="G89" s="68">
        <v>0.2</v>
      </c>
      <c r="H89" s="69">
        <v>0.25</v>
      </c>
      <c r="I89" s="2">
        <v>52</v>
      </c>
      <c r="J89" s="2">
        <v>64</v>
      </c>
      <c r="K89" s="41">
        <v>49</v>
      </c>
      <c r="L89" s="2">
        <f>AVERAGE(203,160,156,205,188,211,219,209,259,208,184)</f>
        <v>200.18181818181819</v>
      </c>
      <c r="M89" s="2" t="s">
        <v>1072</v>
      </c>
      <c r="N89" s="58">
        <f>AVERAGE(280,270,275,269,249,289,280,319)</f>
        <v>278.875</v>
      </c>
      <c r="O89" s="2" t="s">
        <v>1045</v>
      </c>
      <c r="P89" s="58" t="s">
        <v>16</v>
      </c>
      <c r="Q89" s="2" t="s">
        <v>16</v>
      </c>
      <c r="R89" s="41" t="s">
        <v>16</v>
      </c>
      <c r="S89" s="58" t="s">
        <v>16</v>
      </c>
      <c r="T89" s="2" t="s">
        <v>16</v>
      </c>
      <c r="U89" s="41" t="s">
        <v>16</v>
      </c>
    </row>
    <row r="90" spans="1:21" ht="12.6" customHeight="1">
      <c r="A90" s="66" t="s">
        <v>286</v>
      </c>
      <c r="B90" s="66" t="s">
        <v>557</v>
      </c>
      <c r="C90" s="2">
        <v>50</v>
      </c>
      <c r="D90" s="3">
        <v>1.4</v>
      </c>
      <c r="E90" s="2">
        <f>1.6*C90</f>
        <v>80</v>
      </c>
      <c r="F90" s="57" t="s">
        <v>136</v>
      </c>
      <c r="G90" s="68" t="s">
        <v>16</v>
      </c>
      <c r="H90" s="69" t="s">
        <v>16</v>
      </c>
      <c r="I90" s="2" t="s">
        <v>16</v>
      </c>
      <c r="J90" s="2" t="s">
        <v>16</v>
      </c>
      <c r="K90" s="41" t="s">
        <v>16</v>
      </c>
      <c r="L90" s="58" t="s">
        <v>748</v>
      </c>
      <c r="M90" s="41" t="s">
        <v>16</v>
      </c>
      <c r="N90" s="58">
        <f>AVERAGE(390,418)</f>
        <v>404</v>
      </c>
      <c r="O90" s="2" t="s">
        <v>878</v>
      </c>
      <c r="P90" s="58" t="s">
        <v>16</v>
      </c>
      <c r="Q90" s="2" t="s">
        <v>16</v>
      </c>
      <c r="R90" s="41" t="s">
        <v>16</v>
      </c>
      <c r="S90" s="58" t="s">
        <v>16</v>
      </c>
      <c r="T90" s="2" t="s">
        <v>16</v>
      </c>
      <c r="U90" s="41" t="s">
        <v>16</v>
      </c>
    </row>
    <row r="91" spans="1:21" ht="12.6" customHeight="1">
      <c r="A91" s="66" t="s">
        <v>286</v>
      </c>
      <c r="B91" s="66" t="s">
        <v>515</v>
      </c>
      <c r="C91" s="2">
        <v>50</v>
      </c>
      <c r="D91" s="3">
        <v>1.8</v>
      </c>
      <c r="E91" s="2">
        <f t="shared" si="14"/>
        <v>80</v>
      </c>
      <c r="F91" s="57" t="s">
        <v>136</v>
      </c>
      <c r="G91" s="68">
        <v>0.33</v>
      </c>
      <c r="H91" s="69">
        <v>0.19500000000000001</v>
      </c>
      <c r="I91" s="2">
        <v>39</v>
      </c>
      <c r="J91" s="2">
        <v>84</v>
      </c>
      <c r="K91" s="41">
        <v>49</v>
      </c>
      <c r="L91" s="58">
        <f>AVERAGE(120,129,120,129,104,123,135,103)</f>
        <v>120.375</v>
      </c>
      <c r="M91" s="41" t="s">
        <v>1072</v>
      </c>
      <c r="N91" s="58">
        <f>AVERAGE(131,160,200,175,175,200,169,149,159,199)</f>
        <v>171.7</v>
      </c>
      <c r="O91" s="2" t="s">
        <v>1072</v>
      </c>
      <c r="P91" s="58" t="s">
        <v>16</v>
      </c>
      <c r="Q91" s="2" t="s">
        <v>16</v>
      </c>
      <c r="R91" s="41" t="s">
        <v>16</v>
      </c>
      <c r="S91" s="58" t="s">
        <v>16</v>
      </c>
      <c r="T91" s="2" t="s">
        <v>16</v>
      </c>
      <c r="U91" s="41" t="s">
        <v>16</v>
      </c>
    </row>
    <row r="92" spans="1:21" ht="12.6" customHeight="1">
      <c r="A92" s="66" t="s">
        <v>286</v>
      </c>
      <c r="B92" s="66" t="s">
        <v>761</v>
      </c>
      <c r="C92" s="2">
        <v>75</v>
      </c>
      <c r="D92" s="3">
        <v>1.5</v>
      </c>
      <c r="E92" s="2">
        <f t="shared" si="14"/>
        <v>120</v>
      </c>
      <c r="F92" s="57" t="s">
        <v>136</v>
      </c>
      <c r="G92" s="68">
        <v>0.82</v>
      </c>
      <c r="H92" s="173">
        <v>0.5</v>
      </c>
      <c r="I92" s="2">
        <v>76</v>
      </c>
      <c r="J92" s="2" t="s">
        <v>16</v>
      </c>
      <c r="K92" s="41">
        <v>55</v>
      </c>
      <c r="L92" s="58">
        <f>AVERAGE(815,804,760,938,999,943,922,912,925)</f>
        <v>890.88888888888891</v>
      </c>
      <c r="M92" s="2" t="s">
        <v>1072</v>
      </c>
      <c r="N92" s="58">
        <f>AVERAGE(928,971)</f>
        <v>949.5</v>
      </c>
      <c r="O92" s="2" t="s">
        <v>1072</v>
      </c>
      <c r="P92" s="58" t="s">
        <v>16</v>
      </c>
      <c r="Q92" s="2" t="s">
        <v>16</v>
      </c>
      <c r="R92" s="41" t="s">
        <v>16</v>
      </c>
      <c r="S92" s="58" t="s">
        <v>16</v>
      </c>
      <c r="T92" s="2" t="s">
        <v>16</v>
      </c>
      <c r="U92" s="41" t="s">
        <v>16</v>
      </c>
    </row>
    <row r="93" spans="1:21" ht="12.6" customHeight="1">
      <c r="A93" s="66" t="s">
        <v>286</v>
      </c>
      <c r="B93" s="66" t="s">
        <v>473</v>
      </c>
      <c r="C93" s="2">
        <v>80</v>
      </c>
      <c r="D93" s="3">
        <v>1.8</v>
      </c>
      <c r="E93" s="2">
        <f t="shared" si="14"/>
        <v>128</v>
      </c>
      <c r="F93" s="57" t="s">
        <v>136</v>
      </c>
      <c r="G93" s="68">
        <v>0.35</v>
      </c>
      <c r="H93" s="69">
        <v>0.308</v>
      </c>
      <c r="I93" s="2">
        <v>55</v>
      </c>
      <c r="J93" s="172">
        <v>60</v>
      </c>
      <c r="K93" s="41">
        <v>58</v>
      </c>
      <c r="L93" s="58">
        <f>AVERAGE(400,381)</f>
        <v>390.5</v>
      </c>
      <c r="M93" s="41" t="s">
        <v>1072</v>
      </c>
      <c r="N93" s="58" t="s">
        <v>16</v>
      </c>
      <c r="O93" s="41" t="s">
        <v>16</v>
      </c>
      <c r="P93" s="58" t="s">
        <v>16</v>
      </c>
      <c r="Q93" s="2" t="s">
        <v>16</v>
      </c>
      <c r="R93" s="41" t="s">
        <v>16</v>
      </c>
      <c r="S93" s="58" t="s">
        <v>16</v>
      </c>
      <c r="T93" s="2" t="s">
        <v>16</v>
      </c>
      <c r="U93" s="41" t="s">
        <v>16</v>
      </c>
    </row>
    <row r="94" spans="1:21" ht="12.6" customHeight="1">
      <c r="A94" s="66" t="s">
        <v>286</v>
      </c>
      <c r="B94" s="66" t="s">
        <v>750</v>
      </c>
      <c r="C94" s="2">
        <v>135</v>
      </c>
      <c r="D94" s="3">
        <v>3.5</v>
      </c>
      <c r="E94" s="2">
        <f t="shared" si="14"/>
        <v>216</v>
      </c>
      <c r="F94" s="57" t="s">
        <v>136</v>
      </c>
      <c r="G94" s="68">
        <v>1</v>
      </c>
      <c r="H94" s="69">
        <v>0.375</v>
      </c>
      <c r="I94" s="2">
        <v>82</v>
      </c>
      <c r="J94" s="2" t="s">
        <v>16</v>
      </c>
      <c r="K94" s="41">
        <v>49</v>
      </c>
      <c r="L94" s="2">
        <f>AVERAGE(139,139,144,113,115,118,133,124,110,109)</f>
        <v>124.4</v>
      </c>
      <c r="M94" s="2" t="s">
        <v>1072</v>
      </c>
      <c r="N94" s="58">
        <f>AVERAGE(155,195,190,199,239,219,195,153,169)</f>
        <v>190.44444444444446</v>
      </c>
      <c r="O94" s="2" t="s">
        <v>1045</v>
      </c>
      <c r="P94" s="58">
        <v>75</v>
      </c>
      <c r="Q94" s="2" t="s">
        <v>1045</v>
      </c>
      <c r="R94" s="41" t="s">
        <v>28</v>
      </c>
      <c r="S94" s="58" t="s">
        <v>16</v>
      </c>
      <c r="T94" s="2" t="s">
        <v>16</v>
      </c>
      <c r="U94" s="41" t="s">
        <v>16</v>
      </c>
    </row>
    <row r="95" spans="1:21" ht="12.6" customHeight="1">
      <c r="A95" s="66" t="s">
        <v>286</v>
      </c>
      <c r="B95" s="66" t="s">
        <v>755</v>
      </c>
      <c r="C95" s="2">
        <v>180</v>
      </c>
      <c r="D95" s="3">
        <v>2.8</v>
      </c>
      <c r="E95" s="2">
        <f t="shared" si="14"/>
        <v>288</v>
      </c>
      <c r="F95" s="57" t="s">
        <v>136</v>
      </c>
      <c r="G95" s="68">
        <v>2.2000000000000002</v>
      </c>
      <c r="H95" s="69">
        <v>1.1000000000000001</v>
      </c>
      <c r="I95" s="2">
        <v>146</v>
      </c>
      <c r="J95" s="2">
        <v>100</v>
      </c>
      <c r="K95" s="41">
        <v>86</v>
      </c>
      <c r="L95" s="2">
        <f>AVERAGE(259,225,125,260,200,250,222,245,199,185,262)</f>
        <v>221.09090909090909</v>
      </c>
      <c r="M95" s="2" t="s">
        <v>1045</v>
      </c>
      <c r="N95" s="58">
        <f>AVERAGE(310,355,316,356,300,310,288,277)</f>
        <v>314</v>
      </c>
      <c r="O95" s="2" t="s">
        <v>1072</v>
      </c>
      <c r="P95" s="58">
        <v>425</v>
      </c>
      <c r="Q95" s="2" t="s">
        <v>1072</v>
      </c>
      <c r="R95" s="41" t="s">
        <v>28</v>
      </c>
      <c r="S95" s="58" t="s">
        <v>16</v>
      </c>
      <c r="T95" s="2" t="s">
        <v>16</v>
      </c>
      <c r="U95" s="41" t="s">
        <v>16</v>
      </c>
    </row>
    <row r="96" spans="1:21" ht="12.6" customHeight="1">
      <c r="A96" s="66" t="s">
        <v>286</v>
      </c>
      <c r="B96" s="66" t="s">
        <v>754</v>
      </c>
      <c r="C96" s="2">
        <v>200</v>
      </c>
      <c r="D96" s="3">
        <v>2.8</v>
      </c>
      <c r="E96" s="2">
        <f>1.6*C96</f>
        <v>320</v>
      </c>
      <c r="F96" s="57" t="s">
        <v>136</v>
      </c>
      <c r="G96" s="68">
        <v>2.2000000000000002</v>
      </c>
      <c r="H96" s="69">
        <v>1.2</v>
      </c>
      <c r="I96" s="2">
        <v>146</v>
      </c>
      <c r="J96" s="2" t="s">
        <v>16</v>
      </c>
      <c r="K96" s="41">
        <v>77</v>
      </c>
      <c r="L96" s="2">
        <f>AVERAGE(210,288,250,260,203)</f>
        <v>242.2</v>
      </c>
      <c r="M96" s="2" t="s">
        <v>1072</v>
      </c>
      <c r="N96" s="58">
        <f>AVERAGE(379,345,419,489,409,399,320,328,327,306,307,389)</f>
        <v>368.08333333333331</v>
      </c>
      <c r="O96" s="2" t="s">
        <v>1072</v>
      </c>
      <c r="P96" s="58">
        <v>350</v>
      </c>
      <c r="Q96" s="2" t="s">
        <v>772</v>
      </c>
      <c r="R96" s="41" t="s">
        <v>35</v>
      </c>
      <c r="S96" s="58" t="s">
        <v>16</v>
      </c>
      <c r="T96" s="2" t="s">
        <v>16</v>
      </c>
      <c r="U96" s="41" t="s">
        <v>16</v>
      </c>
    </row>
    <row r="97" spans="1:22" ht="12.6" customHeight="1">
      <c r="A97" s="60" t="s">
        <v>286</v>
      </c>
      <c r="B97" s="60" t="s">
        <v>1049</v>
      </c>
      <c r="C97" s="27">
        <v>300</v>
      </c>
      <c r="D97" s="32">
        <v>4</v>
      </c>
      <c r="E97" s="43">
        <f t="shared" si="14"/>
        <v>480</v>
      </c>
      <c r="F97" s="51" t="s">
        <v>136</v>
      </c>
      <c r="G97" s="50">
        <v>4</v>
      </c>
      <c r="H97" s="31">
        <v>0.20699999999999999</v>
      </c>
      <c r="I97" s="27">
        <v>224</v>
      </c>
      <c r="J97" s="27" t="s">
        <v>16</v>
      </c>
      <c r="K97" s="43">
        <v>86</v>
      </c>
      <c r="L97" s="52">
        <f>AVERAGE(195,236,200)</f>
        <v>210.33333333333334</v>
      </c>
      <c r="M97" s="27" t="s">
        <v>1072</v>
      </c>
      <c r="N97" s="52">
        <f>AVERAGE(399)</f>
        <v>399</v>
      </c>
      <c r="O97" s="27" t="s">
        <v>1072</v>
      </c>
      <c r="P97" s="52">
        <v>450</v>
      </c>
      <c r="Q97" s="27" t="s">
        <v>772</v>
      </c>
      <c r="R97" s="43" t="s">
        <v>35</v>
      </c>
      <c r="S97" s="52" t="s">
        <v>16</v>
      </c>
      <c r="T97" s="27" t="s">
        <v>16</v>
      </c>
      <c r="U97" s="43" t="s">
        <v>16</v>
      </c>
      <c r="V97" s="2"/>
    </row>
    <row r="98" spans="1:22" s="17" customFormat="1" ht="12.6" customHeight="1">
      <c r="A98" s="97" t="s">
        <v>409</v>
      </c>
      <c r="B98" s="98"/>
      <c r="C98" s="34"/>
      <c r="D98" s="99"/>
      <c r="E98" s="34"/>
      <c r="F98" s="100"/>
      <c r="G98" s="101" t="s">
        <v>16</v>
      </c>
      <c r="H98" s="102" t="s">
        <v>16</v>
      </c>
      <c r="I98" s="34" t="s">
        <v>16</v>
      </c>
      <c r="J98" s="34" t="s">
        <v>16</v>
      </c>
      <c r="K98" s="34" t="s">
        <v>16</v>
      </c>
      <c r="L98" s="34" t="s">
        <v>16</v>
      </c>
      <c r="M98" s="34" t="s">
        <v>16</v>
      </c>
      <c r="N98" s="34" t="s">
        <v>16</v>
      </c>
      <c r="O98" s="34" t="s">
        <v>16</v>
      </c>
      <c r="P98" s="34" t="s">
        <v>16</v>
      </c>
      <c r="Q98" s="34" t="s">
        <v>16</v>
      </c>
      <c r="R98" s="34" t="s">
        <v>16</v>
      </c>
      <c r="S98" s="34" t="s">
        <v>16</v>
      </c>
      <c r="T98" s="34" t="s">
        <v>16</v>
      </c>
      <c r="U98" s="34" t="s">
        <v>16</v>
      </c>
    </row>
    <row r="99" spans="1:22" s="17" customFormat="1" ht="12" customHeight="1">
      <c r="A99" s="17" t="s">
        <v>164</v>
      </c>
      <c r="B99" s="17" t="s">
        <v>347</v>
      </c>
      <c r="C99" s="2">
        <v>20</v>
      </c>
      <c r="D99" s="38">
        <v>3.5</v>
      </c>
      <c r="E99" s="2">
        <f>1.6*C99</f>
        <v>32</v>
      </c>
      <c r="F99" s="146" t="s">
        <v>31</v>
      </c>
      <c r="G99" s="68">
        <v>0.2</v>
      </c>
      <c r="H99" s="69">
        <v>0.2</v>
      </c>
      <c r="I99" s="2">
        <v>28.8</v>
      </c>
      <c r="J99" s="2">
        <v>63</v>
      </c>
      <c r="K99" s="59">
        <v>52</v>
      </c>
      <c r="L99" s="2">
        <f>AVERAGE(318,339,296,317,315,293,365,295)</f>
        <v>317.25</v>
      </c>
      <c r="M99" s="59" t="s">
        <v>1072</v>
      </c>
      <c r="N99" s="58">
        <f>AVERAGE(415,435,529,372,395,439,406,405,489,406)</f>
        <v>429.1</v>
      </c>
      <c r="O99" s="3" t="s">
        <v>1072</v>
      </c>
      <c r="P99" s="58">
        <v>420</v>
      </c>
      <c r="Q99" s="3" t="s">
        <v>1072</v>
      </c>
      <c r="R99" s="59" t="s">
        <v>32</v>
      </c>
      <c r="S99" s="74">
        <v>500</v>
      </c>
      <c r="T99" s="3" t="s">
        <v>917</v>
      </c>
      <c r="U99" s="59" t="s">
        <v>33</v>
      </c>
      <c r="V99" s="2"/>
    </row>
    <row r="100" spans="1:22" s="17" customFormat="1" ht="12" customHeight="1">
      <c r="A100" s="17" t="s">
        <v>164</v>
      </c>
      <c r="B100" s="17" t="s">
        <v>347</v>
      </c>
      <c r="C100" s="2">
        <v>20</v>
      </c>
      <c r="D100" s="38">
        <v>3.5</v>
      </c>
      <c r="E100" s="2">
        <f t="shared" ref="E100:E112" si="15">1.6*C100</f>
        <v>32</v>
      </c>
      <c r="F100" s="146" t="s">
        <v>741</v>
      </c>
      <c r="G100" s="68">
        <v>0.2</v>
      </c>
      <c r="H100" s="69">
        <v>0.2</v>
      </c>
      <c r="I100" s="2">
        <v>28.8</v>
      </c>
      <c r="J100" s="2">
        <v>63</v>
      </c>
      <c r="K100" s="59">
        <v>52</v>
      </c>
      <c r="L100" s="58">
        <f>AVERAGE(333,335,360,225,360,350,390,362)</f>
        <v>339.375</v>
      </c>
      <c r="M100" s="160" t="s">
        <v>1072</v>
      </c>
      <c r="N100" s="58">
        <f>AVERAGE(378,345,418,400,408,420,450,449,475,483,450)</f>
        <v>425.09090909090907</v>
      </c>
      <c r="O100" s="3" t="s">
        <v>1072</v>
      </c>
      <c r="P100" s="58">
        <v>400</v>
      </c>
      <c r="Q100" s="3" t="s">
        <v>686</v>
      </c>
      <c r="R100" s="41" t="s">
        <v>622</v>
      </c>
      <c r="S100" s="74">
        <v>450</v>
      </c>
      <c r="T100" s="3" t="s">
        <v>1072</v>
      </c>
      <c r="U100" s="41" t="s">
        <v>32</v>
      </c>
      <c r="V100" s="2"/>
    </row>
    <row r="101" spans="1:22" s="17" customFormat="1" ht="12" customHeight="1">
      <c r="A101" s="17" t="s">
        <v>164</v>
      </c>
      <c r="B101" s="17" t="s">
        <v>716</v>
      </c>
      <c r="C101" s="2">
        <v>28</v>
      </c>
      <c r="D101" s="38">
        <v>2.8</v>
      </c>
      <c r="E101" s="2">
        <f t="shared" si="15"/>
        <v>44.800000000000004</v>
      </c>
      <c r="F101" s="146" t="s">
        <v>31</v>
      </c>
      <c r="G101" s="68">
        <v>0.22</v>
      </c>
      <c r="H101" s="69">
        <v>0.23</v>
      </c>
      <c r="I101" s="2">
        <v>27</v>
      </c>
      <c r="J101" s="2"/>
      <c r="K101" s="59">
        <v>52</v>
      </c>
      <c r="L101" s="58">
        <f>AVERAGE(210,348,355,355,350)</f>
        <v>323.60000000000002</v>
      </c>
      <c r="M101" s="160" t="s">
        <v>1072</v>
      </c>
      <c r="N101" s="147">
        <f>AVERAGE(396,399,390,400)</f>
        <v>396.25</v>
      </c>
      <c r="O101" s="3" t="s">
        <v>1072</v>
      </c>
      <c r="P101" s="58"/>
      <c r="Q101" s="3"/>
      <c r="R101" s="41"/>
      <c r="S101" s="74">
        <v>400</v>
      </c>
      <c r="T101" s="3" t="s">
        <v>1045</v>
      </c>
      <c r="U101" s="41" t="s">
        <v>33</v>
      </c>
      <c r="V101" s="2"/>
    </row>
    <row r="102" spans="1:22" s="17" customFormat="1" ht="12.6" customHeight="1">
      <c r="A102" s="17" t="s">
        <v>164</v>
      </c>
      <c r="B102" s="17" t="s">
        <v>348</v>
      </c>
      <c r="C102" s="2">
        <v>35</v>
      </c>
      <c r="D102" s="3">
        <v>2.8</v>
      </c>
      <c r="E102" s="2">
        <f t="shared" si="15"/>
        <v>56</v>
      </c>
      <c r="F102" s="174" t="s">
        <v>31</v>
      </c>
      <c r="G102" s="68">
        <v>0.4</v>
      </c>
      <c r="H102" s="69">
        <v>0.21</v>
      </c>
      <c r="I102" s="2">
        <v>53</v>
      </c>
      <c r="J102" s="2" t="s">
        <v>16</v>
      </c>
      <c r="K102" s="59">
        <v>49</v>
      </c>
      <c r="L102" s="58">
        <f>AVERAGE(199,185,227)</f>
        <v>203.66666666666666</v>
      </c>
      <c r="M102" s="160" t="s">
        <v>1072</v>
      </c>
      <c r="N102" s="58">
        <f>AVERAGE(398)</f>
        <v>398</v>
      </c>
      <c r="O102" s="16" t="s">
        <v>917</v>
      </c>
      <c r="P102" s="58" t="s">
        <v>16</v>
      </c>
      <c r="Q102" s="16" t="s">
        <v>16</v>
      </c>
      <c r="R102" s="59" t="s">
        <v>16</v>
      </c>
      <c r="S102" s="74" t="s">
        <v>16</v>
      </c>
      <c r="T102" s="16" t="s">
        <v>16</v>
      </c>
      <c r="U102" s="59" t="s">
        <v>16</v>
      </c>
      <c r="V102" s="2"/>
    </row>
    <row r="103" spans="1:22" s="17" customFormat="1" ht="12.6" customHeight="1">
      <c r="A103" s="17" t="s">
        <v>164</v>
      </c>
      <c r="B103" s="17" t="s">
        <v>349</v>
      </c>
      <c r="C103" s="2">
        <v>40</v>
      </c>
      <c r="D103" s="2">
        <v>2</v>
      </c>
      <c r="E103" s="2">
        <f>1.6*C103</f>
        <v>64</v>
      </c>
      <c r="F103" s="174" t="s">
        <v>31</v>
      </c>
      <c r="G103" s="68">
        <v>0.38</v>
      </c>
      <c r="H103" s="69">
        <v>0.2</v>
      </c>
      <c r="I103" s="2">
        <v>24.5</v>
      </c>
      <c r="J103" s="2">
        <v>63</v>
      </c>
      <c r="K103" s="59">
        <v>52</v>
      </c>
      <c r="L103" s="58">
        <f>AVERAGE(319,319,335,323,249,315,330,251,320,300)</f>
        <v>306.10000000000002</v>
      </c>
      <c r="M103" s="160" t="s">
        <v>1072</v>
      </c>
      <c r="N103" s="2">
        <f>AVERAGE(360,379,380,368,362,380,389,395,388)</f>
        <v>377.88888888888891</v>
      </c>
      <c r="O103" s="16" t="s">
        <v>1045</v>
      </c>
      <c r="P103" s="58">
        <v>260</v>
      </c>
      <c r="Q103" s="16" t="s">
        <v>540</v>
      </c>
      <c r="R103" s="59" t="s">
        <v>32</v>
      </c>
      <c r="S103" s="58">
        <v>380</v>
      </c>
      <c r="T103" s="16" t="s">
        <v>1072</v>
      </c>
      <c r="U103" s="59" t="s">
        <v>32</v>
      </c>
      <c r="V103" s="2"/>
    </row>
    <row r="104" spans="1:22" s="17" customFormat="1" ht="12.6" customHeight="1">
      <c r="A104" s="17" t="s">
        <v>164</v>
      </c>
      <c r="B104" s="17" t="s">
        <v>349</v>
      </c>
      <c r="C104" s="2">
        <v>40</v>
      </c>
      <c r="D104" s="2">
        <v>2</v>
      </c>
      <c r="E104" s="2">
        <f t="shared" si="15"/>
        <v>64</v>
      </c>
      <c r="F104" s="174" t="s">
        <v>741</v>
      </c>
      <c r="G104" s="68">
        <v>0.38</v>
      </c>
      <c r="H104" s="69">
        <v>0.2</v>
      </c>
      <c r="I104" s="2">
        <v>23</v>
      </c>
      <c r="J104" s="2">
        <v>63.5</v>
      </c>
      <c r="K104" s="59">
        <v>52</v>
      </c>
      <c r="L104" s="58">
        <f>AVERAGE(328,303,299,300,300,208,348,329)</f>
        <v>301.875</v>
      </c>
      <c r="M104" s="160" t="s">
        <v>1045</v>
      </c>
      <c r="N104" s="2">
        <f>AVERAGE(375,369,245,350,473,539,444,500)</f>
        <v>411.875</v>
      </c>
      <c r="O104" s="16" t="s">
        <v>1072</v>
      </c>
      <c r="P104" s="58">
        <v>310</v>
      </c>
      <c r="Q104" s="16" t="s">
        <v>981</v>
      </c>
      <c r="R104" s="59" t="s">
        <v>33</v>
      </c>
      <c r="S104" s="74">
        <v>350</v>
      </c>
      <c r="T104" s="16" t="s">
        <v>1072</v>
      </c>
      <c r="U104" s="59" t="s">
        <v>32</v>
      </c>
      <c r="V104" s="2"/>
    </row>
    <row r="105" spans="1:22" s="17" customFormat="1" ht="12.6" customHeight="1">
      <c r="A105" s="66" t="s">
        <v>164</v>
      </c>
      <c r="B105" s="66" t="s">
        <v>350</v>
      </c>
      <c r="C105" s="2">
        <v>50</v>
      </c>
      <c r="D105" s="3">
        <v>1.8</v>
      </c>
      <c r="E105" s="2">
        <f t="shared" si="15"/>
        <v>80</v>
      </c>
      <c r="F105" s="67" t="s">
        <v>31</v>
      </c>
      <c r="G105" s="68">
        <v>0.45</v>
      </c>
      <c r="H105" s="69">
        <v>0.188</v>
      </c>
      <c r="I105" s="2">
        <v>38</v>
      </c>
      <c r="J105" s="2" t="s">
        <v>16</v>
      </c>
      <c r="K105" s="41">
        <v>49</v>
      </c>
      <c r="L105" s="58">
        <f>AVERAGE(130,121,158,145,150,134,173,138,149,145)</f>
        <v>144.30000000000001</v>
      </c>
      <c r="M105" s="41" t="s">
        <v>1072</v>
      </c>
      <c r="N105" s="2">
        <f>AVERAGE(329,358,199,203,261,215,265,250,280)</f>
        <v>262.22222222222223</v>
      </c>
      <c r="O105" s="2" t="s">
        <v>1013</v>
      </c>
      <c r="P105" s="58" t="s">
        <v>16</v>
      </c>
      <c r="Q105" s="2" t="s">
        <v>16</v>
      </c>
      <c r="R105" s="160" t="s">
        <v>16</v>
      </c>
      <c r="S105" s="175" t="s">
        <v>16</v>
      </c>
      <c r="T105" s="2" t="s">
        <v>16</v>
      </c>
      <c r="U105" s="160" t="s">
        <v>16</v>
      </c>
    </row>
    <row r="106" spans="1:22" ht="12.6" customHeight="1">
      <c r="A106" s="48" t="s">
        <v>164</v>
      </c>
      <c r="B106" s="60" t="s">
        <v>351</v>
      </c>
      <c r="C106" s="27">
        <v>58</v>
      </c>
      <c r="D106" s="64">
        <v>1.4</v>
      </c>
      <c r="E106" s="27">
        <f t="shared" si="15"/>
        <v>92.800000000000011</v>
      </c>
      <c r="F106" s="51" t="s">
        <v>31</v>
      </c>
      <c r="G106" s="50">
        <v>0.45</v>
      </c>
      <c r="H106" s="31">
        <v>0.32</v>
      </c>
      <c r="I106" s="27">
        <v>47.5</v>
      </c>
      <c r="J106" s="27">
        <v>64.400000000000006</v>
      </c>
      <c r="K106" s="43">
        <v>58</v>
      </c>
      <c r="L106" s="27">
        <f>AVERAGE(365,328,375,281,355,378,339,327,365)</f>
        <v>345.88888888888891</v>
      </c>
      <c r="M106" s="155" t="s">
        <v>1072</v>
      </c>
      <c r="N106" s="27">
        <f>AVERAGE(370,398,396,419,385,480,379,420)</f>
        <v>405.875</v>
      </c>
      <c r="O106" s="64" t="s">
        <v>1072</v>
      </c>
      <c r="P106" s="52" t="s">
        <v>16</v>
      </c>
      <c r="Q106" s="27" t="s">
        <v>16</v>
      </c>
      <c r="R106" s="43" t="s">
        <v>16</v>
      </c>
      <c r="S106" s="149">
        <f>530*CA.US</f>
        <v>371</v>
      </c>
      <c r="T106" s="27" t="s">
        <v>561</v>
      </c>
      <c r="U106" s="43" t="s">
        <v>418</v>
      </c>
      <c r="V106" s="2"/>
    </row>
    <row r="107" spans="1:22" ht="12.6" customHeight="1">
      <c r="A107" s="66" t="s">
        <v>164</v>
      </c>
      <c r="B107" s="66" t="s">
        <v>352</v>
      </c>
      <c r="C107" s="2">
        <v>75</v>
      </c>
      <c r="D107" s="3">
        <v>2.5</v>
      </c>
      <c r="E107" s="2">
        <f t="shared" si="15"/>
        <v>120</v>
      </c>
      <c r="F107" s="57" t="s">
        <v>31</v>
      </c>
      <c r="G107" s="68">
        <v>0.7</v>
      </c>
      <c r="H107" s="69">
        <v>0.25</v>
      </c>
      <c r="I107" s="2">
        <v>40.200000000000003</v>
      </c>
      <c r="J107" s="2">
        <v>63.5</v>
      </c>
      <c r="K107" s="41">
        <v>49</v>
      </c>
      <c r="L107" s="2">
        <f>AVERAGE(399,327,340,305)</f>
        <v>342.75</v>
      </c>
      <c r="M107" s="2" t="s">
        <v>1072</v>
      </c>
      <c r="N107" s="58">
        <f>AVERAGE(450,450,448)</f>
        <v>449.33333333333331</v>
      </c>
      <c r="O107" s="2" t="s">
        <v>1072</v>
      </c>
      <c r="P107" s="58" t="s">
        <v>16</v>
      </c>
      <c r="Q107" s="2" t="s">
        <v>16</v>
      </c>
      <c r="R107" s="59" t="s">
        <v>16</v>
      </c>
      <c r="S107" s="74" t="s">
        <v>16</v>
      </c>
      <c r="T107" s="2" t="s">
        <v>16</v>
      </c>
      <c r="U107" s="59" t="s">
        <v>16</v>
      </c>
    </row>
    <row r="108" spans="1:22" s="17" customFormat="1" ht="12.6" customHeight="1">
      <c r="A108" s="66" t="s">
        <v>164</v>
      </c>
      <c r="B108" s="66" t="s">
        <v>353</v>
      </c>
      <c r="C108" s="2">
        <v>90</v>
      </c>
      <c r="D108" s="3">
        <v>3.5</v>
      </c>
      <c r="E108" s="2">
        <f>1.6*C108</f>
        <v>144</v>
      </c>
      <c r="F108" s="67" t="s">
        <v>31</v>
      </c>
      <c r="G108" s="68">
        <v>0.5</v>
      </c>
      <c r="H108" s="69">
        <v>0.39</v>
      </c>
      <c r="I108" s="2">
        <v>57.6</v>
      </c>
      <c r="J108" s="2">
        <v>63.5</v>
      </c>
      <c r="K108" s="41">
        <v>49</v>
      </c>
      <c r="L108" s="58">
        <f>AVERAGE(375,440,317,305,280,310)</f>
        <v>337.83333333333331</v>
      </c>
      <c r="M108" s="41" t="s">
        <v>1045</v>
      </c>
      <c r="N108" s="2">
        <f>AVERAGE(580,529,530,479,400,420,479,450)</f>
        <v>483.375</v>
      </c>
      <c r="O108" s="2" t="s">
        <v>1072</v>
      </c>
      <c r="P108" s="58" t="s">
        <v>437</v>
      </c>
      <c r="Q108" s="2" t="s">
        <v>446</v>
      </c>
      <c r="R108" s="160" t="s">
        <v>583</v>
      </c>
      <c r="S108" s="174" t="s">
        <v>1044</v>
      </c>
      <c r="T108" s="2" t="s">
        <v>16</v>
      </c>
      <c r="U108" s="41" t="s">
        <v>16</v>
      </c>
    </row>
    <row r="109" spans="1:22" s="17" customFormat="1" ht="12.6" customHeight="1">
      <c r="A109" s="66" t="s">
        <v>164</v>
      </c>
      <c r="B109" s="66" t="s">
        <v>509</v>
      </c>
      <c r="C109" s="2">
        <v>90</v>
      </c>
      <c r="D109" s="3">
        <v>3.5</v>
      </c>
      <c r="E109" s="2">
        <f t="shared" si="15"/>
        <v>144</v>
      </c>
      <c r="F109" s="67" t="s">
        <v>741</v>
      </c>
      <c r="G109" s="68">
        <v>0.5</v>
      </c>
      <c r="H109" s="69">
        <v>0.32</v>
      </c>
      <c r="I109" s="2">
        <v>48</v>
      </c>
      <c r="J109" s="2">
        <v>63</v>
      </c>
      <c r="K109" s="41">
        <v>52</v>
      </c>
      <c r="L109" s="58">
        <f>AVERAGE(375,265,389,375,408,451,350,448,350)</f>
        <v>379</v>
      </c>
      <c r="M109" s="41" t="s">
        <v>1045</v>
      </c>
      <c r="N109" s="58">
        <f>AVERAGE(579,458,470,549)</f>
        <v>514</v>
      </c>
      <c r="O109" s="2" t="s">
        <v>1013</v>
      </c>
      <c r="P109" s="58" t="s">
        <v>871</v>
      </c>
      <c r="Q109" s="2" t="s">
        <v>878</v>
      </c>
      <c r="R109" s="160" t="s">
        <v>30</v>
      </c>
      <c r="S109" s="147">
        <f>630*CA.US</f>
        <v>441</v>
      </c>
      <c r="T109" s="2" t="s">
        <v>1045</v>
      </c>
      <c r="U109" s="160" t="s">
        <v>418</v>
      </c>
    </row>
    <row r="110" spans="1:22" s="17" customFormat="1" ht="12.6" customHeight="1">
      <c r="A110" s="66" t="s">
        <v>164</v>
      </c>
      <c r="B110" s="66" t="s">
        <v>482</v>
      </c>
      <c r="C110" s="2">
        <v>125</v>
      </c>
      <c r="D110" s="3">
        <v>2.5</v>
      </c>
      <c r="E110" s="2">
        <f>1.6*C110</f>
        <v>200</v>
      </c>
      <c r="F110" s="67" t="s">
        <v>31</v>
      </c>
      <c r="G110" s="68">
        <v>0.38</v>
      </c>
      <c r="H110" s="69">
        <v>0.69</v>
      </c>
      <c r="I110" s="2">
        <v>88.2</v>
      </c>
      <c r="J110" s="2">
        <v>76</v>
      </c>
      <c r="K110" s="41">
        <v>58</v>
      </c>
      <c r="L110" s="58">
        <f>AVERAGE(1200,1229,1229,1174,1320,1125,1199,1249,1350)</f>
        <v>1230.5555555555557</v>
      </c>
      <c r="M110" s="41" t="s">
        <v>1047</v>
      </c>
      <c r="N110" s="2">
        <f>AVERAGE(2100,2280,1745,1999,2150,2390,2250,2150)</f>
        <v>2133</v>
      </c>
      <c r="O110" s="2" t="s">
        <v>1072</v>
      </c>
      <c r="P110" s="58" t="s">
        <v>602</v>
      </c>
      <c r="Q110" s="2" t="s">
        <v>608</v>
      </c>
      <c r="R110" s="160" t="s">
        <v>33</v>
      </c>
      <c r="S110" s="58" t="s">
        <v>16</v>
      </c>
      <c r="T110" s="2" t="s">
        <v>16</v>
      </c>
      <c r="U110" s="160" t="s">
        <v>16</v>
      </c>
    </row>
    <row r="111" spans="1:22" s="17" customFormat="1" ht="12.6" customHeight="1">
      <c r="A111" s="66" t="s">
        <v>164</v>
      </c>
      <c r="B111" s="66" t="s">
        <v>482</v>
      </c>
      <c r="C111" s="2">
        <v>125</v>
      </c>
      <c r="D111" s="3">
        <v>2.5</v>
      </c>
      <c r="E111" s="2">
        <f t="shared" si="15"/>
        <v>200</v>
      </c>
      <c r="F111" s="67" t="s">
        <v>741</v>
      </c>
      <c r="G111" s="68">
        <v>0.38</v>
      </c>
      <c r="H111" s="69">
        <v>0.69</v>
      </c>
      <c r="I111" s="2">
        <v>88.2</v>
      </c>
      <c r="J111" s="2">
        <v>76</v>
      </c>
      <c r="K111" s="41">
        <v>58</v>
      </c>
      <c r="L111" s="58">
        <f>AVERAGE(1799)</f>
        <v>1799</v>
      </c>
      <c r="M111" s="41" t="s">
        <v>954</v>
      </c>
      <c r="N111" s="2">
        <f>AVERAGE(2380,1880,2580,2219,3500,2350,2460,2225,2450,2000,2050)</f>
        <v>2372.181818181818</v>
      </c>
      <c r="O111" s="2" t="s">
        <v>997</v>
      </c>
      <c r="P111" s="58" t="s">
        <v>16</v>
      </c>
      <c r="Q111" s="2" t="s">
        <v>16</v>
      </c>
      <c r="R111" s="160" t="s">
        <v>16</v>
      </c>
      <c r="S111" s="175" t="s">
        <v>16</v>
      </c>
      <c r="T111" s="2" t="s">
        <v>16</v>
      </c>
      <c r="U111" s="160" t="s">
        <v>16</v>
      </c>
    </row>
    <row r="112" spans="1:22" ht="12.6" customHeight="1">
      <c r="A112" s="60" t="s">
        <v>164</v>
      </c>
      <c r="B112" s="60" t="s">
        <v>354</v>
      </c>
      <c r="C112" s="27">
        <v>180</v>
      </c>
      <c r="D112" s="64">
        <v>4</v>
      </c>
      <c r="E112" s="27">
        <f t="shared" si="15"/>
        <v>288</v>
      </c>
      <c r="F112" s="51" t="s">
        <v>31</v>
      </c>
      <c r="G112" s="50">
        <v>1.2</v>
      </c>
      <c r="H112" s="31">
        <v>0.48499999999999999</v>
      </c>
      <c r="I112" s="27">
        <v>79</v>
      </c>
      <c r="J112" s="27">
        <v>65.599999999999994</v>
      </c>
      <c r="K112" s="43">
        <v>49</v>
      </c>
      <c r="L112" s="27">
        <f>AVERAGE(1150,1230,899,1199,999,949,998,1269,1250,1124,888,990)</f>
        <v>1078.75</v>
      </c>
      <c r="M112" s="41" t="s">
        <v>1072</v>
      </c>
      <c r="N112" s="27">
        <f>AVERAGE(1800,1697,1473,1150,1290,1251,1149,1350,1450)</f>
        <v>1401.1111111111111</v>
      </c>
      <c r="O112" s="64" t="s">
        <v>1072</v>
      </c>
      <c r="P112" s="52" t="s">
        <v>16</v>
      </c>
      <c r="Q112" s="27" t="s">
        <v>16</v>
      </c>
      <c r="R112" s="43" t="s">
        <v>16</v>
      </c>
      <c r="S112" s="149" t="s">
        <v>16</v>
      </c>
      <c r="T112" s="27" t="s">
        <v>16</v>
      </c>
      <c r="U112" s="43" t="s">
        <v>16</v>
      </c>
      <c r="V112" s="2"/>
    </row>
    <row r="113" spans="1:22" s="17" customFormat="1" ht="12.6" customHeight="1">
      <c r="A113" s="97" t="s">
        <v>410</v>
      </c>
      <c r="B113" s="98"/>
      <c r="C113" s="34"/>
      <c r="D113" s="99"/>
      <c r="E113" s="34"/>
      <c r="F113" s="100"/>
      <c r="G113" s="101" t="s">
        <v>16</v>
      </c>
      <c r="H113" s="102" t="s">
        <v>16</v>
      </c>
      <c r="I113" s="34" t="s">
        <v>16</v>
      </c>
      <c r="J113" s="34" t="s">
        <v>16</v>
      </c>
      <c r="K113" s="34" t="s">
        <v>16</v>
      </c>
      <c r="L113" s="34" t="s">
        <v>16</v>
      </c>
      <c r="M113" s="140" t="s">
        <v>16</v>
      </c>
      <c r="N113" s="34" t="s">
        <v>16</v>
      </c>
      <c r="O113" s="34" t="s">
        <v>16</v>
      </c>
      <c r="P113" s="34" t="s">
        <v>16</v>
      </c>
      <c r="Q113" s="34" t="s">
        <v>16</v>
      </c>
      <c r="R113" s="34" t="s">
        <v>16</v>
      </c>
      <c r="S113" s="34" t="s">
        <v>16</v>
      </c>
      <c r="T113" s="34" t="s">
        <v>16</v>
      </c>
      <c r="U113" s="34" t="s">
        <v>16</v>
      </c>
    </row>
    <row r="114" spans="1:22" s="17" customFormat="1" ht="12.6" customHeight="1">
      <c r="A114" s="66" t="s">
        <v>162</v>
      </c>
      <c r="B114" s="66" t="s">
        <v>333</v>
      </c>
      <c r="C114" s="2" t="s">
        <v>273</v>
      </c>
      <c r="D114" s="3">
        <v>2.8</v>
      </c>
      <c r="E114" s="2">
        <f>1.6*C114</f>
        <v>44.800000000000004</v>
      </c>
      <c r="F114" s="67" t="s">
        <v>31</v>
      </c>
      <c r="G114" s="68">
        <v>0.3</v>
      </c>
      <c r="H114" s="69">
        <v>0.56499999999999995</v>
      </c>
      <c r="I114" s="2">
        <v>86.5</v>
      </c>
      <c r="J114" s="2">
        <v>75</v>
      </c>
      <c r="K114" s="2">
        <v>67</v>
      </c>
      <c r="L114" s="58">
        <f>AVERAGE(999,710,850,866,1025)</f>
        <v>890</v>
      </c>
      <c r="M114" s="72" t="s">
        <v>1072</v>
      </c>
      <c r="N114" s="2">
        <f>AVERAGE(1425,1240,1090,1375,1644,1326,1025,1063,1300)</f>
        <v>1276.4444444444443</v>
      </c>
      <c r="O114" s="2" t="s">
        <v>715</v>
      </c>
      <c r="P114" s="58">
        <v>1300</v>
      </c>
      <c r="Q114" s="2" t="s">
        <v>981</v>
      </c>
      <c r="R114" s="160" t="s">
        <v>33</v>
      </c>
      <c r="S114" s="174" t="s">
        <v>972</v>
      </c>
      <c r="T114" s="2" t="s">
        <v>981</v>
      </c>
      <c r="U114" s="160" t="s">
        <v>28</v>
      </c>
    </row>
    <row r="115" spans="1:22" s="17" customFormat="1" ht="12.6" customHeight="1">
      <c r="A115" s="60" t="s">
        <v>162</v>
      </c>
      <c r="B115" s="49" t="s">
        <v>356</v>
      </c>
      <c r="C115" s="27">
        <v>35</v>
      </c>
      <c r="D115" s="64">
        <v>4</v>
      </c>
      <c r="E115" s="27">
        <f>1.6*C115</f>
        <v>56</v>
      </c>
      <c r="F115" s="62" t="s">
        <v>31</v>
      </c>
      <c r="G115" s="50">
        <v>0.28000000000000003</v>
      </c>
      <c r="H115" s="31">
        <v>0.31</v>
      </c>
      <c r="I115" s="27">
        <v>51</v>
      </c>
      <c r="J115" s="27" t="s">
        <v>16</v>
      </c>
      <c r="K115" s="64">
        <v>49</v>
      </c>
      <c r="L115" s="52">
        <f>AVERAGE(276,310,400,355,345,325,393,326,375,345,383)</f>
        <v>348.45454545454544</v>
      </c>
      <c r="M115" s="155" t="s">
        <v>1033</v>
      </c>
      <c r="N115" s="27">
        <f>AVERAGE(655,500,600,488,506,528,500)</f>
        <v>539.57142857142856</v>
      </c>
      <c r="O115" s="61" t="s">
        <v>1047</v>
      </c>
      <c r="P115" s="52" t="s">
        <v>16</v>
      </c>
      <c r="Q115" s="61" t="s">
        <v>16</v>
      </c>
      <c r="R115" s="43" t="s">
        <v>16</v>
      </c>
      <c r="S115" s="52">
        <v>760</v>
      </c>
      <c r="T115" s="61" t="s">
        <v>1072</v>
      </c>
      <c r="U115" s="43" t="s">
        <v>1062</v>
      </c>
    </row>
    <row r="116" spans="1:22" s="17" customFormat="1" ht="12.6" customHeight="1">
      <c r="A116" s="66" t="s">
        <v>162</v>
      </c>
      <c r="B116" s="66" t="s">
        <v>828</v>
      </c>
      <c r="C116" s="2">
        <v>50</v>
      </c>
      <c r="D116" s="3">
        <v>2.8</v>
      </c>
      <c r="E116" s="2">
        <f>1.6*C116</f>
        <v>80</v>
      </c>
      <c r="F116" s="67" t="s">
        <v>741</v>
      </c>
      <c r="G116" s="68">
        <v>0.65</v>
      </c>
      <c r="H116" s="69">
        <v>1.4</v>
      </c>
      <c r="I116" s="2">
        <v>108</v>
      </c>
      <c r="J116" s="2">
        <v>129</v>
      </c>
      <c r="K116" s="41" t="s">
        <v>16</v>
      </c>
      <c r="L116" s="58">
        <f>AVERAGE(1655,1550)</f>
        <v>1602.5</v>
      </c>
      <c r="M116" s="11" t="s">
        <v>917</v>
      </c>
      <c r="N116" s="58">
        <f>AVERAGE(2516,2550,2136)</f>
        <v>2400.6666666666665</v>
      </c>
      <c r="O116" s="2" t="s">
        <v>878</v>
      </c>
      <c r="P116" s="58" t="s">
        <v>16</v>
      </c>
      <c r="Q116" s="2" t="s">
        <v>16</v>
      </c>
      <c r="R116" s="160" t="s">
        <v>16</v>
      </c>
      <c r="S116" s="175" t="s">
        <v>829</v>
      </c>
      <c r="T116" s="2" t="s">
        <v>831</v>
      </c>
      <c r="U116" s="160" t="s">
        <v>32</v>
      </c>
    </row>
    <row r="117" spans="1:22" ht="12.6" customHeight="1">
      <c r="A117" s="60" t="s">
        <v>162</v>
      </c>
      <c r="B117" s="60" t="s">
        <v>827</v>
      </c>
      <c r="C117" s="27">
        <v>90</v>
      </c>
      <c r="D117" s="64">
        <v>4.5</v>
      </c>
      <c r="E117" s="27">
        <f>1.6*C117</f>
        <v>144</v>
      </c>
      <c r="F117" s="51" t="s">
        <v>741</v>
      </c>
      <c r="G117" s="50">
        <v>0.56999999999999995</v>
      </c>
      <c r="H117" s="31">
        <v>1.1100000000000001</v>
      </c>
      <c r="I117" s="27">
        <v>138.80000000000001</v>
      </c>
      <c r="J117" s="27">
        <v>108</v>
      </c>
      <c r="K117" s="43" t="s">
        <v>16</v>
      </c>
      <c r="L117" s="52">
        <f>AVERAGE(0)</f>
        <v>0</v>
      </c>
      <c r="M117" s="27" t="s">
        <v>16</v>
      </c>
      <c r="N117" s="52">
        <f>AVERAGE(2000,2000)</f>
        <v>2000</v>
      </c>
      <c r="O117" s="64" t="s">
        <v>917</v>
      </c>
      <c r="P117" s="52" t="s">
        <v>16</v>
      </c>
      <c r="Q117" s="27" t="s">
        <v>16</v>
      </c>
      <c r="R117" s="43" t="s">
        <v>16</v>
      </c>
      <c r="S117" s="52">
        <v>2795</v>
      </c>
      <c r="T117" s="27" t="s">
        <v>1072</v>
      </c>
      <c r="U117" s="43" t="s">
        <v>32</v>
      </c>
      <c r="V117" s="2"/>
    </row>
  </sheetData>
  <sheetProtection password="990B" sheet="1" objects="1" scenarios="1"/>
  <phoneticPr fontId="0" type="noConversion"/>
  <conditionalFormatting sqref="O85:O93 M85 M87 O29:O37 O39:O41 M93 M89:M91 M30:M41 O118:O65550 M118:M65550 M19:M20 M77:M79 O77:O79 M51:M66 M97:M106 O97:O106 O43 M43 M16:M17 O1:O9 M1:M9 O19:O20 O15:O17 M45 M23 O23 O25:O26 M25:M26 O108:O115 M108:M115 O69:O75 O48:O66 M69:M75 M48:M49 O81 M81">
    <cfRule type="cellIs" dxfId="277" priority="66" stopIfTrue="1" operator="lessThan">
      <formula>".08-09"</formula>
    </cfRule>
  </conditionalFormatting>
  <conditionalFormatting sqref="O94:O96 M94:M96">
    <cfRule type="cellIs" dxfId="276" priority="67" stopIfTrue="1" operator="lessThan">
      <formula>".07-06"</formula>
    </cfRule>
  </conditionalFormatting>
  <conditionalFormatting sqref="O28 M28">
    <cfRule type="cellIs" dxfId="275" priority="65" stopIfTrue="1" operator="lessThan">
      <formula>".08-09"</formula>
    </cfRule>
  </conditionalFormatting>
  <conditionalFormatting sqref="M28 O28">
    <cfRule type="cellIs" dxfId="274" priority="64" stopIfTrue="1" operator="lessThan">
      <formula>".08-09"</formula>
    </cfRule>
  </conditionalFormatting>
  <conditionalFormatting sqref="O29">
    <cfRule type="cellIs" dxfId="273" priority="63" stopIfTrue="1" operator="lessThan">
      <formula>".08-09"</formula>
    </cfRule>
  </conditionalFormatting>
  <conditionalFormatting sqref="M29">
    <cfRule type="cellIs" dxfId="272" priority="60" stopIfTrue="1" operator="lessThan">
      <formula>".08-09"</formula>
    </cfRule>
  </conditionalFormatting>
  <conditionalFormatting sqref="O18">
    <cfRule type="cellIs" dxfId="271" priority="59" stopIfTrue="1" operator="lessThan">
      <formula>".08-09"</formula>
    </cfRule>
  </conditionalFormatting>
  <conditionalFormatting sqref="M18">
    <cfRule type="cellIs" dxfId="270" priority="58" stopIfTrue="1" operator="lessThan">
      <formula>".08-09"</formula>
    </cfRule>
  </conditionalFormatting>
  <conditionalFormatting sqref="O38">
    <cfRule type="cellIs" dxfId="269" priority="55" stopIfTrue="1" operator="lessThan">
      <formula>".08-09"</formula>
    </cfRule>
  </conditionalFormatting>
  <conditionalFormatting sqref="M50">
    <cfRule type="cellIs" dxfId="268" priority="53" stopIfTrue="1" operator="lessThan">
      <formula>".08-09"</formula>
    </cfRule>
  </conditionalFormatting>
  <conditionalFormatting sqref="O45">
    <cfRule type="cellIs" dxfId="267" priority="50" stopIfTrue="1" operator="lessThan">
      <formula>".08-09"</formula>
    </cfRule>
  </conditionalFormatting>
  <conditionalFormatting sqref="M86">
    <cfRule type="cellIs" dxfId="266" priority="49" stopIfTrue="1" operator="lessThan">
      <formula>".08-09"</formula>
    </cfRule>
  </conditionalFormatting>
  <conditionalFormatting sqref="M76 O76">
    <cfRule type="cellIs" dxfId="265" priority="48" stopIfTrue="1" operator="lessThan">
      <formula>".08-09"</formula>
    </cfRule>
  </conditionalFormatting>
  <conditionalFormatting sqref="M80">
    <cfRule type="cellIs" dxfId="264" priority="47" stopIfTrue="1" operator="lessThan">
      <formula>".08-09"</formula>
    </cfRule>
  </conditionalFormatting>
  <conditionalFormatting sqref="M92">
    <cfRule type="cellIs" dxfId="263" priority="43" stopIfTrue="1" operator="lessThan">
      <formula>".08-09"</formula>
    </cfRule>
  </conditionalFormatting>
  <conditionalFormatting sqref="M88">
    <cfRule type="cellIs" dxfId="262" priority="42" stopIfTrue="1" operator="lessThan">
      <formula>".08-09"</formula>
    </cfRule>
  </conditionalFormatting>
  <conditionalFormatting sqref="O116:O117">
    <cfRule type="cellIs" dxfId="261" priority="39" stopIfTrue="1" operator="lessThan">
      <formula>".08-09"</formula>
    </cfRule>
  </conditionalFormatting>
  <conditionalFormatting sqref="M116:M117">
    <cfRule type="cellIs" dxfId="260" priority="38" stopIfTrue="1" operator="lessThan">
      <formula>".08-09"</formula>
    </cfRule>
  </conditionalFormatting>
  <conditionalFormatting sqref="M15">
    <cfRule type="cellIs" dxfId="259" priority="37" stopIfTrue="1" operator="lessThan">
      <formula>".08-09"</formula>
    </cfRule>
  </conditionalFormatting>
  <conditionalFormatting sqref="O80">
    <cfRule type="cellIs" dxfId="258" priority="36" stopIfTrue="1" operator="lessThan">
      <formula>".08-09"</formula>
    </cfRule>
  </conditionalFormatting>
  <conditionalFormatting sqref="M27 O27">
    <cfRule type="cellIs" dxfId="257" priority="34" stopIfTrue="1" operator="lessThan">
      <formula>".08-09"</formula>
    </cfRule>
  </conditionalFormatting>
  <conditionalFormatting sqref="M47">
    <cfRule type="cellIs" dxfId="256" priority="28" stopIfTrue="1" operator="lessThan">
      <formula>".08-09"</formula>
    </cfRule>
  </conditionalFormatting>
  <conditionalFormatting sqref="O47">
    <cfRule type="cellIs" dxfId="255" priority="27" stopIfTrue="1" operator="lessThan">
      <formula>".08-09"</formula>
    </cfRule>
  </conditionalFormatting>
  <conditionalFormatting sqref="O46">
    <cfRule type="cellIs" dxfId="254" priority="25" stopIfTrue="1" operator="lessThan">
      <formula>".08-09"</formula>
    </cfRule>
  </conditionalFormatting>
  <conditionalFormatting sqref="M46">
    <cfRule type="cellIs" dxfId="253" priority="24" stopIfTrue="1" operator="lessThan">
      <formula>".08-09"</formula>
    </cfRule>
  </conditionalFormatting>
  <conditionalFormatting sqref="O42 M42">
    <cfRule type="cellIs" dxfId="252" priority="23" stopIfTrue="1" operator="lessThan">
      <formula>".08-09"</formula>
    </cfRule>
  </conditionalFormatting>
  <conditionalFormatting sqref="O12 M12">
    <cfRule type="cellIs" dxfId="251" priority="21" stopIfTrue="1" operator="lessThan">
      <formula>".08-09"</formula>
    </cfRule>
  </conditionalFormatting>
  <conditionalFormatting sqref="M12 O12">
    <cfRule type="cellIs" dxfId="250" priority="20" stopIfTrue="1" operator="lessThan">
      <formula>".08-09"</formula>
    </cfRule>
  </conditionalFormatting>
  <conditionalFormatting sqref="M11 O11">
    <cfRule type="cellIs" dxfId="249" priority="16" stopIfTrue="1" operator="lessThan">
      <formula>".08-09"</formula>
    </cfRule>
  </conditionalFormatting>
  <conditionalFormatting sqref="O13 M13">
    <cfRule type="cellIs" dxfId="248" priority="15" stopIfTrue="1" operator="lessThan">
      <formula>".08-09"</formula>
    </cfRule>
  </conditionalFormatting>
  <conditionalFormatting sqref="O82 M82">
    <cfRule type="cellIs" dxfId="247" priority="14" stopIfTrue="1" operator="lessThan">
      <formula>".08-09"</formula>
    </cfRule>
  </conditionalFormatting>
  <conditionalFormatting sqref="O44 M44">
    <cfRule type="cellIs" dxfId="246" priority="13" stopIfTrue="1" operator="lessThan">
      <formula>".08-09"</formula>
    </cfRule>
  </conditionalFormatting>
  <conditionalFormatting sqref="O10 M10">
    <cfRule type="cellIs" dxfId="245" priority="12" stopIfTrue="1" operator="lessThan">
      <formula>".08-09"</formula>
    </cfRule>
  </conditionalFormatting>
  <conditionalFormatting sqref="O14">
    <cfRule type="cellIs" dxfId="244" priority="11" stopIfTrue="1" operator="lessThan">
      <formula>".08-09"</formula>
    </cfRule>
  </conditionalFormatting>
  <conditionalFormatting sqref="M14">
    <cfRule type="cellIs" dxfId="243" priority="10" stopIfTrue="1" operator="lessThan">
      <formula>".08-09"</formula>
    </cfRule>
  </conditionalFormatting>
  <conditionalFormatting sqref="M22 O22">
    <cfRule type="cellIs" dxfId="242" priority="8" stopIfTrue="1" operator="lessThan">
      <formula>".08-09"</formula>
    </cfRule>
  </conditionalFormatting>
  <conditionalFormatting sqref="M67 O67">
    <cfRule type="cellIs" dxfId="241" priority="7" stopIfTrue="1" operator="lessThan">
      <formula>".08-09"</formula>
    </cfRule>
  </conditionalFormatting>
  <conditionalFormatting sqref="M21 O21">
    <cfRule type="cellIs" dxfId="240" priority="6" stopIfTrue="1" operator="lessThan">
      <formula>".08-09"</formula>
    </cfRule>
  </conditionalFormatting>
  <conditionalFormatting sqref="M24 O24">
    <cfRule type="cellIs" dxfId="239" priority="5" stopIfTrue="1" operator="lessThan">
      <formula>".08-09"</formula>
    </cfRule>
  </conditionalFormatting>
  <conditionalFormatting sqref="O107 M107">
    <cfRule type="cellIs" dxfId="238" priority="4" stopIfTrue="1" operator="lessThan">
      <formula>".08-09"</formula>
    </cfRule>
  </conditionalFormatting>
  <conditionalFormatting sqref="M68 O68">
    <cfRule type="cellIs" dxfId="237" priority="3" stopIfTrue="1" operator="lessThan">
      <formula>".08-09"</formula>
    </cfRule>
  </conditionalFormatting>
  <conditionalFormatting sqref="M83:M84 O83:O84">
    <cfRule type="cellIs" dxfId="236"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2" manualBreakCount="2">
    <brk id="44" max="16383" man="1"/>
    <brk id="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90"/>
  <sheetViews>
    <sheetView view="pageLayout" zoomScaleNormal="100" workbookViewId="0"/>
  </sheetViews>
  <sheetFormatPr defaultRowHeight="12.6" customHeight="1"/>
  <cols>
    <col min="1" max="1" width="8.7109375" style="55" customWidth="1"/>
    <col min="2" max="2" width="23.5703125" style="55" customWidth="1"/>
    <col min="3" max="3" width="6.28515625" style="11" customWidth="1"/>
    <col min="4" max="4" width="6.5703125" style="56" customWidth="1"/>
    <col min="5" max="5" width="6.28515625" style="11" customWidth="1"/>
    <col min="6" max="6" width="4.7109375" style="12" customWidth="1"/>
    <col min="7" max="7" width="4.7109375" style="25" customWidth="1"/>
    <col min="8" max="8" width="4.7109375" style="26" customWidth="1"/>
    <col min="9" max="11" width="4.7109375" style="11" customWidth="1"/>
    <col min="12" max="17" width="5.28515625" style="11" customWidth="1"/>
    <col min="18" max="18" width="5.7109375" style="11" customWidth="1"/>
    <col min="19" max="20" width="5.28515625" style="11" customWidth="1"/>
    <col min="21" max="21" width="5.7109375" style="11" customWidth="1"/>
    <col min="22" max="22" width="1.42578125" style="5" customWidth="1"/>
    <col min="23" max="16384" width="9.140625" style="5"/>
  </cols>
  <sheetData>
    <row r="1" spans="1:21" ht="12.6" customHeight="1">
      <c r="A1" s="14" t="str">
        <f>i!A1</f>
        <v>Lens$db: Lens Price database</v>
      </c>
      <c r="B1" s="15"/>
      <c r="C1" s="6" t="s">
        <v>16</v>
      </c>
      <c r="D1" s="15" t="s">
        <v>16</v>
      </c>
      <c r="E1" s="6" t="s">
        <v>16</v>
      </c>
      <c r="F1" s="15" t="s">
        <v>16</v>
      </c>
      <c r="G1" s="25" t="s">
        <v>16</v>
      </c>
      <c r="H1" s="26" t="s">
        <v>16</v>
      </c>
      <c r="I1" s="11" t="s">
        <v>16</v>
      </c>
      <c r="J1" s="54" t="s">
        <v>16</v>
      </c>
      <c r="K1" s="11" t="s">
        <v>16</v>
      </c>
      <c r="L1" s="2" t="s">
        <v>16</v>
      </c>
      <c r="M1" s="2" t="s">
        <v>16</v>
      </c>
      <c r="N1" s="2" t="s">
        <v>16</v>
      </c>
      <c r="O1" s="2" t="s">
        <v>16</v>
      </c>
      <c r="P1" s="2" t="s">
        <v>16</v>
      </c>
      <c r="Q1" s="5" t="str">
        <f>i!B3</f>
        <v>.2016-02-01</v>
      </c>
      <c r="S1" s="13"/>
      <c r="T1" s="2" t="s">
        <v>16</v>
      </c>
      <c r="U1" s="2" t="s">
        <v>16</v>
      </c>
    </row>
    <row r="2" spans="1:21" ht="12.6" customHeight="1">
      <c r="A2" s="17" t="str">
        <f>i!A3</f>
        <v>v.30</v>
      </c>
      <c r="B2" s="55" t="s">
        <v>1074</v>
      </c>
      <c r="F2" s="16"/>
      <c r="G2" s="38"/>
      <c r="H2" s="69"/>
      <c r="I2" s="2"/>
      <c r="J2" s="37"/>
      <c r="K2" s="2"/>
      <c r="L2" s="2"/>
      <c r="M2" s="3" t="s">
        <v>16</v>
      </c>
      <c r="N2" s="27"/>
      <c r="O2" s="3" t="s">
        <v>16</v>
      </c>
      <c r="P2" s="27"/>
      <c r="Q2" s="3"/>
      <c r="R2" s="27"/>
      <c r="S2" s="27"/>
      <c r="T2" s="3"/>
      <c r="U2" s="27"/>
    </row>
    <row r="3" spans="1:21" s="15" customFormat="1" ht="12.6" customHeight="1">
      <c r="A3" s="17" t="s">
        <v>16</v>
      </c>
      <c r="B3" s="15" t="s">
        <v>16</v>
      </c>
      <c r="C3" s="28" t="s">
        <v>16</v>
      </c>
      <c r="D3" s="136" t="s">
        <v>16</v>
      </c>
      <c r="E3" s="28" t="s">
        <v>16</v>
      </c>
      <c r="F3" s="137" t="s">
        <v>16</v>
      </c>
      <c r="G3" s="30" t="s">
        <v>16</v>
      </c>
      <c r="H3" s="30" t="s">
        <v>16</v>
      </c>
      <c r="I3" s="30" t="s">
        <v>16</v>
      </c>
      <c r="J3" s="27" t="s">
        <v>16</v>
      </c>
      <c r="K3" s="30" t="s">
        <v>16</v>
      </c>
      <c r="L3" s="138" t="s">
        <v>16</v>
      </c>
      <c r="M3" s="34" t="s">
        <v>16</v>
      </c>
      <c r="N3" s="34" t="s">
        <v>17</v>
      </c>
      <c r="O3" s="34" t="s">
        <v>16</v>
      </c>
      <c r="P3" s="139" t="s">
        <v>16</v>
      </c>
      <c r="Q3" s="140" t="s">
        <v>16</v>
      </c>
      <c r="R3" s="13" t="s">
        <v>18</v>
      </c>
      <c r="S3" s="27"/>
      <c r="T3" s="34" t="s">
        <v>16</v>
      </c>
      <c r="U3" s="43" t="s">
        <v>16</v>
      </c>
    </row>
    <row r="4" spans="1:21" s="17" customFormat="1" ht="12.6" customHeight="1">
      <c r="A4" s="15" t="s">
        <v>16</v>
      </c>
      <c r="B4" s="15"/>
      <c r="C4" s="2" t="s">
        <v>6</v>
      </c>
      <c r="D4" s="3" t="s">
        <v>11</v>
      </c>
      <c r="E4" s="16" t="s">
        <v>909</v>
      </c>
      <c r="F4" s="12" t="s">
        <v>13</v>
      </c>
      <c r="G4" s="39" t="s">
        <v>329</v>
      </c>
      <c r="H4" s="69" t="s">
        <v>7</v>
      </c>
      <c r="I4" s="2" t="s">
        <v>380</v>
      </c>
      <c r="J4" s="2" t="s">
        <v>381</v>
      </c>
      <c r="K4" s="41" t="s">
        <v>382</v>
      </c>
      <c r="L4" s="42" t="s">
        <v>576</v>
      </c>
      <c r="M4" s="43"/>
      <c r="N4" s="44" t="s">
        <v>19</v>
      </c>
      <c r="O4" s="27"/>
      <c r="P4" s="143"/>
      <c r="Q4" s="34" t="s">
        <v>577</v>
      </c>
      <c r="R4" s="53"/>
      <c r="S4" s="144"/>
      <c r="T4" s="41" t="s">
        <v>9</v>
      </c>
      <c r="U4" s="41"/>
    </row>
    <row r="5" spans="1:21" s="17" customFormat="1" ht="12.6" customHeight="1">
      <c r="A5" s="48" t="s">
        <v>16</v>
      </c>
      <c r="B5" s="48" t="s">
        <v>16</v>
      </c>
      <c r="C5" s="27" t="s">
        <v>20</v>
      </c>
      <c r="D5" s="64" t="s">
        <v>16</v>
      </c>
      <c r="E5" s="27" t="s">
        <v>16</v>
      </c>
      <c r="F5" s="145" t="s">
        <v>16</v>
      </c>
      <c r="G5" s="50" t="s">
        <v>37</v>
      </c>
      <c r="H5" s="31" t="s">
        <v>21</v>
      </c>
      <c r="I5" s="27" t="s">
        <v>20</v>
      </c>
      <c r="J5" s="27" t="s">
        <v>20</v>
      </c>
      <c r="K5" s="43" t="s">
        <v>20</v>
      </c>
      <c r="L5" s="52" t="s">
        <v>22</v>
      </c>
      <c r="M5" s="43" t="s">
        <v>23</v>
      </c>
      <c r="N5" s="27" t="s">
        <v>22</v>
      </c>
      <c r="O5" s="27" t="s">
        <v>23</v>
      </c>
      <c r="P5" s="52" t="s">
        <v>22</v>
      </c>
      <c r="Q5" s="27" t="s">
        <v>23</v>
      </c>
      <c r="R5" s="43" t="s">
        <v>24</v>
      </c>
      <c r="S5" s="46" t="s">
        <v>22</v>
      </c>
      <c r="T5" s="34" t="s">
        <v>23</v>
      </c>
      <c r="U5" s="53" t="s">
        <v>24</v>
      </c>
    </row>
    <row r="6" spans="1:21" s="17" customFormat="1" ht="12.6" customHeight="1">
      <c r="A6" s="97" t="s">
        <v>487</v>
      </c>
      <c r="B6" s="98"/>
      <c r="C6" s="34"/>
      <c r="D6" s="99"/>
      <c r="E6" s="34"/>
      <c r="F6" s="100"/>
      <c r="G6" s="101"/>
      <c r="H6" s="102"/>
      <c r="I6" s="34"/>
      <c r="J6" s="34"/>
      <c r="K6" s="34"/>
      <c r="L6" s="34" t="s">
        <v>16</v>
      </c>
      <c r="M6" s="34" t="s">
        <v>16</v>
      </c>
      <c r="N6" s="34" t="s">
        <v>16</v>
      </c>
      <c r="O6" s="34" t="s">
        <v>16</v>
      </c>
      <c r="P6" s="34" t="s">
        <v>16</v>
      </c>
      <c r="Q6" s="34" t="s">
        <v>16</v>
      </c>
      <c r="R6" s="34" t="s">
        <v>16</v>
      </c>
      <c r="S6" s="34" t="s">
        <v>16</v>
      </c>
      <c r="T6" s="34" t="s">
        <v>16</v>
      </c>
      <c r="U6" s="34" t="s">
        <v>16</v>
      </c>
    </row>
    <row r="7" spans="1:21" ht="12.6" customHeight="1">
      <c r="A7" s="66" t="s">
        <v>346</v>
      </c>
      <c r="B7" s="66" t="s">
        <v>1061</v>
      </c>
      <c r="C7" s="2">
        <v>15</v>
      </c>
      <c r="D7" s="3">
        <v>2.8</v>
      </c>
      <c r="E7" s="2">
        <f>C7*1.6</f>
        <v>24</v>
      </c>
      <c r="F7" s="57" t="s">
        <v>153</v>
      </c>
      <c r="G7" s="68">
        <v>0.18</v>
      </c>
      <c r="H7" s="69">
        <v>0.71</v>
      </c>
      <c r="I7" s="2">
        <v>85.3</v>
      </c>
      <c r="J7" s="2">
        <v>83.5</v>
      </c>
      <c r="K7" s="41" t="s">
        <v>143</v>
      </c>
      <c r="L7" s="2">
        <f>AVERAGE(0)</f>
        <v>0</v>
      </c>
      <c r="M7" s="41"/>
      <c r="N7" s="2">
        <f>AVERAGE(6170,6715,6622)</f>
        <v>6502.333333333333</v>
      </c>
      <c r="O7" s="2" t="s">
        <v>1072</v>
      </c>
      <c r="P7" s="58"/>
      <c r="Q7" s="2"/>
      <c r="R7" s="41"/>
      <c r="S7" s="58"/>
      <c r="T7" s="2"/>
      <c r="U7" s="41"/>
    </row>
    <row r="8" spans="1:21" ht="12.6" customHeight="1">
      <c r="A8" s="66" t="s">
        <v>346</v>
      </c>
      <c r="B8" s="66" t="s">
        <v>1064</v>
      </c>
      <c r="C8" s="2">
        <v>15</v>
      </c>
      <c r="D8" s="3">
        <v>3.5</v>
      </c>
      <c r="E8" s="2">
        <f t="shared" ref="E8:E9" si="0">C8*1.6</f>
        <v>24</v>
      </c>
      <c r="F8" s="57" t="s">
        <v>153</v>
      </c>
      <c r="G8" s="68">
        <v>0.16</v>
      </c>
      <c r="H8" s="69">
        <v>0.91</v>
      </c>
      <c r="I8" s="2">
        <v>92.5</v>
      </c>
      <c r="J8" s="2" t="s">
        <v>16</v>
      </c>
      <c r="K8" s="41" t="s">
        <v>143</v>
      </c>
      <c r="L8" s="2">
        <f>AVERAGE(1675,1686,2091,1848,2146,2200,2200,2078,2550,2213)</f>
        <v>2068.6999999999998</v>
      </c>
      <c r="M8" s="41" t="s">
        <v>954</v>
      </c>
      <c r="N8" s="2">
        <f>AVERAGE(0)</f>
        <v>0</v>
      </c>
      <c r="O8" s="2" t="s">
        <v>1072</v>
      </c>
      <c r="P8" s="58">
        <v>2395</v>
      </c>
      <c r="Q8" s="2" t="s">
        <v>1072</v>
      </c>
      <c r="R8" s="41" t="s">
        <v>29</v>
      </c>
      <c r="S8" s="58" t="s">
        <v>16</v>
      </c>
      <c r="T8" s="2" t="s">
        <v>16</v>
      </c>
      <c r="U8" s="41" t="s">
        <v>16</v>
      </c>
    </row>
    <row r="9" spans="1:21" ht="12.6" customHeight="1">
      <c r="A9" s="66" t="s">
        <v>346</v>
      </c>
      <c r="B9" s="66" t="s">
        <v>442</v>
      </c>
      <c r="C9" s="2">
        <v>16</v>
      </c>
      <c r="D9" s="3">
        <v>2.8</v>
      </c>
      <c r="E9" s="2">
        <f t="shared" si="0"/>
        <v>25.6</v>
      </c>
      <c r="F9" s="57" t="s">
        <v>153</v>
      </c>
      <c r="G9" s="68">
        <v>0.3</v>
      </c>
      <c r="H9" s="69" t="s">
        <v>16</v>
      </c>
      <c r="I9" s="2" t="s">
        <v>16</v>
      </c>
      <c r="J9" s="2" t="s">
        <v>16</v>
      </c>
      <c r="K9" s="41" t="s">
        <v>16</v>
      </c>
      <c r="L9" s="58">
        <f>AVERAGE(599,645,641,514,621,780,661,595,400)</f>
        <v>606.22222222222217</v>
      </c>
      <c r="M9" s="41" t="s">
        <v>1033</v>
      </c>
      <c r="N9" s="2">
        <f>AVERAGE(985,999,990,965)</f>
        <v>984.75</v>
      </c>
      <c r="O9" s="2" t="s">
        <v>1072</v>
      </c>
      <c r="P9" s="58">
        <v>825</v>
      </c>
      <c r="Q9" s="2" t="s">
        <v>1072</v>
      </c>
      <c r="R9" s="41" t="s">
        <v>1063</v>
      </c>
      <c r="S9" s="58" t="s">
        <v>16</v>
      </c>
      <c r="T9" s="2" t="s">
        <v>16</v>
      </c>
      <c r="U9" s="41" t="s">
        <v>16</v>
      </c>
    </row>
    <row r="10" spans="1:21" ht="12.6" customHeight="1">
      <c r="A10" s="66" t="s">
        <v>346</v>
      </c>
      <c r="B10" s="66" t="s">
        <v>383</v>
      </c>
      <c r="C10" s="2">
        <v>19</v>
      </c>
      <c r="D10" s="3">
        <v>2.8</v>
      </c>
      <c r="E10" s="2">
        <v>30.4</v>
      </c>
      <c r="F10" s="57" t="s">
        <v>153</v>
      </c>
      <c r="G10" s="68">
        <v>0.3</v>
      </c>
      <c r="H10" s="69">
        <v>0.59</v>
      </c>
      <c r="I10" s="2">
        <v>71</v>
      </c>
      <c r="J10" s="2">
        <v>61</v>
      </c>
      <c r="K10" s="41" t="s">
        <v>143</v>
      </c>
      <c r="L10" s="2">
        <f>AVERAGE(995,1051,1099,887,1171,912,999,1279,910,950,1125)</f>
        <v>1034.3636363636363</v>
      </c>
      <c r="M10" s="41" t="s">
        <v>1010</v>
      </c>
      <c r="N10" s="2">
        <f>AVERAGE(1324,1425,1285,1280,1550,1394,1650,1496,1447)</f>
        <v>1427.8888888888889</v>
      </c>
      <c r="O10" s="2" t="s">
        <v>1072</v>
      </c>
      <c r="P10" s="58">
        <v>1078</v>
      </c>
      <c r="Q10" s="2" t="s">
        <v>1072</v>
      </c>
      <c r="R10" s="41" t="s">
        <v>1063</v>
      </c>
      <c r="S10" s="58">
        <v>1295</v>
      </c>
      <c r="T10" s="2" t="s">
        <v>1072</v>
      </c>
      <c r="U10" s="41" t="s">
        <v>28</v>
      </c>
    </row>
    <row r="11" spans="1:21" ht="12.6" customHeight="1">
      <c r="A11" s="60" t="s">
        <v>346</v>
      </c>
      <c r="B11" s="60" t="s">
        <v>154</v>
      </c>
      <c r="C11" s="27">
        <v>21</v>
      </c>
      <c r="D11" s="64">
        <v>4</v>
      </c>
      <c r="E11" s="27">
        <v>33.6</v>
      </c>
      <c r="F11" s="62" t="s">
        <v>153</v>
      </c>
      <c r="G11" s="50" t="s">
        <v>16</v>
      </c>
      <c r="H11" s="31" t="s">
        <v>16</v>
      </c>
      <c r="I11" s="27" t="s">
        <v>16</v>
      </c>
      <c r="J11" s="27" t="s">
        <v>16</v>
      </c>
      <c r="K11" s="43">
        <v>72</v>
      </c>
      <c r="L11" s="27">
        <f>AVERAGE(535,675,551,780,671,731,679,570,760,713,672)</f>
        <v>667</v>
      </c>
      <c r="M11" s="27" t="s">
        <v>1045</v>
      </c>
      <c r="N11" s="52">
        <f>AVERAGE(1125,861,880,900,895,828,810,772,851,874)</f>
        <v>879.6</v>
      </c>
      <c r="O11" s="27" t="s">
        <v>973</v>
      </c>
      <c r="P11" s="52">
        <v>625</v>
      </c>
      <c r="Q11" s="27" t="s">
        <v>1072</v>
      </c>
      <c r="R11" s="43" t="s">
        <v>29</v>
      </c>
      <c r="S11" s="52">
        <v>725</v>
      </c>
      <c r="T11" s="27" t="s">
        <v>1072</v>
      </c>
      <c r="U11" s="43" t="s">
        <v>28</v>
      </c>
    </row>
    <row r="12" spans="1:21" ht="12.6" customHeight="1">
      <c r="A12" s="66" t="s">
        <v>346</v>
      </c>
      <c r="B12" s="156" t="s">
        <v>214</v>
      </c>
      <c r="C12" s="2">
        <v>24</v>
      </c>
      <c r="D12" s="3">
        <v>2.8</v>
      </c>
      <c r="E12" s="2">
        <v>38.4</v>
      </c>
      <c r="F12" s="57" t="s">
        <v>153</v>
      </c>
      <c r="G12" s="68">
        <v>0.3</v>
      </c>
      <c r="H12" s="69">
        <v>0.4</v>
      </c>
      <c r="I12" s="2" t="s">
        <v>16</v>
      </c>
      <c r="J12" s="2" t="s">
        <v>16</v>
      </c>
      <c r="K12" s="41">
        <v>60</v>
      </c>
      <c r="L12" s="71">
        <f>AVERAGE(318,390,450,450,395,445,465,475)</f>
        <v>423.5</v>
      </c>
      <c r="M12" s="72" t="s">
        <v>1072</v>
      </c>
      <c r="N12" s="2">
        <f>AVERAGE(567,550,638,645,621,589,770,619,580,550,550)</f>
        <v>607.18181818181813</v>
      </c>
      <c r="O12" s="2" t="s">
        <v>1072</v>
      </c>
      <c r="P12" s="58">
        <v>600</v>
      </c>
      <c r="Q12" s="2" t="s">
        <v>1072</v>
      </c>
      <c r="R12" s="41" t="s">
        <v>30</v>
      </c>
      <c r="S12" s="58">
        <v>1090</v>
      </c>
      <c r="T12" s="2" t="s">
        <v>1072</v>
      </c>
      <c r="U12" s="41" t="s">
        <v>1063</v>
      </c>
    </row>
    <row r="13" spans="1:21" ht="12.6" customHeight="1">
      <c r="A13" s="66" t="s">
        <v>346</v>
      </c>
      <c r="B13" s="156" t="s">
        <v>484</v>
      </c>
      <c r="C13" s="2">
        <v>24</v>
      </c>
      <c r="D13" s="3">
        <v>2.8</v>
      </c>
      <c r="E13" s="2">
        <v>38.4</v>
      </c>
      <c r="F13" s="57" t="s">
        <v>153</v>
      </c>
      <c r="G13" s="68" t="s">
        <v>16</v>
      </c>
      <c r="H13" s="69" t="s">
        <v>16</v>
      </c>
      <c r="I13" s="2" t="s">
        <v>16</v>
      </c>
      <c r="J13" s="2" t="s">
        <v>16</v>
      </c>
      <c r="K13" s="41" t="s">
        <v>16</v>
      </c>
      <c r="L13" s="58">
        <f>AVERAGE(670,534,650,630)</f>
        <v>621</v>
      </c>
      <c r="M13" s="41" t="s">
        <v>981</v>
      </c>
      <c r="N13" s="58">
        <f>AVERAGE(1210,850,845,1000)</f>
        <v>976.25</v>
      </c>
      <c r="O13" s="2" t="s">
        <v>1013</v>
      </c>
      <c r="P13" s="58" t="s">
        <v>16</v>
      </c>
      <c r="Q13" s="2" t="s">
        <v>16</v>
      </c>
      <c r="R13" s="41" t="s">
        <v>16</v>
      </c>
      <c r="S13" s="58">
        <v>695</v>
      </c>
      <c r="T13" s="2" t="s">
        <v>878</v>
      </c>
      <c r="U13" s="41" t="s">
        <v>29</v>
      </c>
    </row>
    <row r="14" spans="1:21" ht="12.6" customHeight="1">
      <c r="A14" s="66" t="s">
        <v>346</v>
      </c>
      <c r="B14" s="66" t="s">
        <v>879</v>
      </c>
      <c r="C14" s="2">
        <v>28</v>
      </c>
      <c r="D14" s="3">
        <v>2.8</v>
      </c>
      <c r="E14" s="2">
        <v>44.8</v>
      </c>
      <c r="F14" s="57" t="s">
        <v>153</v>
      </c>
      <c r="G14" s="68">
        <v>0.3</v>
      </c>
      <c r="H14" s="69">
        <v>0.27500000000000002</v>
      </c>
      <c r="I14" s="2">
        <v>40</v>
      </c>
      <c r="J14" s="2">
        <v>63</v>
      </c>
      <c r="K14" s="41" t="s">
        <v>880</v>
      </c>
      <c r="L14" s="58">
        <f>AVERAGE(500,475,441,525,500,419,395,457,462)</f>
        <v>463.77777777777777</v>
      </c>
      <c r="M14" s="41" t="s">
        <v>1013</v>
      </c>
      <c r="N14" s="2">
        <f>AVERAGE(557,719,510,546,720,698,700,725,600,586)</f>
        <v>636.1</v>
      </c>
      <c r="O14" s="2" t="s">
        <v>1072</v>
      </c>
      <c r="P14" s="58">
        <f>495*CA.US</f>
        <v>346.5</v>
      </c>
      <c r="Q14" s="2" t="s">
        <v>981</v>
      </c>
      <c r="R14" s="41" t="s">
        <v>35</v>
      </c>
      <c r="S14" s="58" t="s">
        <v>16</v>
      </c>
      <c r="T14" s="2" t="s">
        <v>16</v>
      </c>
      <c r="U14" s="41" t="s">
        <v>16</v>
      </c>
    </row>
    <row r="15" spans="1:21" ht="12.6" customHeight="1">
      <c r="A15" s="66" t="s">
        <v>346</v>
      </c>
      <c r="B15" s="66" t="s">
        <v>537</v>
      </c>
      <c r="C15" s="2">
        <v>28</v>
      </c>
      <c r="D15" s="3">
        <v>2.8</v>
      </c>
      <c r="E15" s="2">
        <v>44.8</v>
      </c>
      <c r="F15" s="57" t="s">
        <v>153</v>
      </c>
      <c r="G15" s="68">
        <v>0.3</v>
      </c>
      <c r="H15" s="69">
        <v>0.435</v>
      </c>
      <c r="I15" s="2">
        <v>48</v>
      </c>
      <c r="J15" s="2">
        <v>67.5</v>
      </c>
      <c r="K15" s="41">
        <v>55</v>
      </c>
      <c r="L15" s="58">
        <f>AVERAGE(1358,1500,1650,1603)</f>
        <v>1527.75</v>
      </c>
      <c r="M15" s="41" t="s">
        <v>1045</v>
      </c>
      <c r="N15" s="2">
        <f>AVERAGE(1995,2299,2195,1864,2225)</f>
        <v>2115.6</v>
      </c>
      <c r="O15" s="2" t="s">
        <v>1045</v>
      </c>
      <c r="P15" s="58">
        <v>1800</v>
      </c>
      <c r="Q15" s="2" t="s">
        <v>1027</v>
      </c>
      <c r="R15" s="41" t="s">
        <v>1023</v>
      </c>
      <c r="S15" s="58" t="s">
        <v>16</v>
      </c>
      <c r="T15" s="2" t="s">
        <v>16</v>
      </c>
      <c r="U15" s="41" t="s">
        <v>16</v>
      </c>
    </row>
    <row r="16" spans="1:21" ht="12.6" customHeight="1">
      <c r="A16" s="66" t="s">
        <v>346</v>
      </c>
      <c r="B16" s="66" t="s">
        <v>1022</v>
      </c>
      <c r="C16" s="2">
        <v>28</v>
      </c>
      <c r="D16" s="3">
        <v>2.8</v>
      </c>
      <c r="E16" s="2">
        <v>44.8</v>
      </c>
      <c r="F16" s="57" t="s">
        <v>153</v>
      </c>
      <c r="G16" s="68">
        <v>0.3</v>
      </c>
      <c r="H16" s="69">
        <v>0.435</v>
      </c>
      <c r="I16" s="2">
        <v>48</v>
      </c>
      <c r="J16" s="2">
        <v>67.5</v>
      </c>
      <c r="K16" s="41">
        <v>55</v>
      </c>
      <c r="L16" s="58">
        <f>AVERAGE(1358,1500,1950,1747)</f>
        <v>1638.75</v>
      </c>
      <c r="M16" s="41" t="s">
        <v>1045</v>
      </c>
      <c r="N16" s="2">
        <f>AVERAGE(2099,2399,2650,2750,2303,2450)</f>
        <v>2441.8333333333335</v>
      </c>
      <c r="O16" s="2" t="s">
        <v>996</v>
      </c>
      <c r="P16" s="58">
        <v>1650</v>
      </c>
      <c r="Q16" s="2" t="s">
        <v>579</v>
      </c>
      <c r="R16" s="41" t="s">
        <v>33</v>
      </c>
      <c r="S16" s="58" t="s">
        <v>16</v>
      </c>
      <c r="T16" s="2" t="s">
        <v>16</v>
      </c>
      <c r="U16" s="41" t="s">
        <v>16</v>
      </c>
    </row>
    <row r="17" spans="1:21" ht="12.6" customHeight="1">
      <c r="A17" s="60" t="s">
        <v>346</v>
      </c>
      <c r="B17" s="60" t="s">
        <v>272</v>
      </c>
      <c r="C17" s="27">
        <v>28</v>
      </c>
      <c r="D17" s="64">
        <v>2.8</v>
      </c>
      <c r="E17" s="27">
        <v>44.8</v>
      </c>
      <c r="F17" s="62" t="s">
        <v>153</v>
      </c>
      <c r="G17" s="50" t="s">
        <v>16</v>
      </c>
      <c r="H17" s="31" t="s">
        <v>16</v>
      </c>
      <c r="I17" s="27" t="s">
        <v>16</v>
      </c>
      <c r="J17" s="27" t="s">
        <v>16</v>
      </c>
      <c r="K17" s="43" t="s">
        <v>16</v>
      </c>
      <c r="L17" s="52">
        <f>AVERAGE(898,1025,1199,1168,1230,1100,1200,1056,1170)</f>
        <v>1116.2222222222222</v>
      </c>
      <c r="M17" s="43" t="s">
        <v>878</v>
      </c>
      <c r="N17" s="27">
        <f>AVERAGE(1925,1399,1450,2089,2295,1375)</f>
        <v>1755.5</v>
      </c>
      <c r="O17" s="27" t="s">
        <v>513</v>
      </c>
      <c r="P17" s="52">
        <v>1495</v>
      </c>
      <c r="Q17" s="27" t="s">
        <v>631</v>
      </c>
      <c r="R17" s="43" t="s">
        <v>629</v>
      </c>
      <c r="S17" s="52">
        <v>1625</v>
      </c>
      <c r="T17" s="27" t="s">
        <v>917</v>
      </c>
      <c r="U17" s="43" t="s">
        <v>28</v>
      </c>
    </row>
    <row r="18" spans="1:21" ht="12.6" customHeight="1">
      <c r="A18" s="66" t="s">
        <v>346</v>
      </c>
      <c r="B18" s="157" t="s">
        <v>173</v>
      </c>
      <c r="C18" s="2">
        <v>35</v>
      </c>
      <c r="D18" s="3">
        <v>1.4</v>
      </c>
      <c r="E18" s="2">
        <v>56</v>
      </c>
      <c r="F18" s="57" t="s">
        <v>153</v>
      </c>
      <c r="G18" s="68">
        <v>0.5</v>
      </c>
      <c r="H18" s="69">
        <v>0.68500000000000005</v>
      </c>
      <c r="I18" s="2">
        <v>76</v>
      </c>
      <c r="J18" s="2">
        <v>75</v>
      </c>
      <c r="K18" s="41">
        <v>67</v>
      </c>
      <c r="L18" s="58">
        <f>AVERAGE(777,910,910,1008,999,1000,930)</f>
        <v>933.42857142857144</v>
      </c>
      <c r="M18" s="41" t="s">
        <v>540</v>
      </c>
      <c r="N18" s="2">
        <f>AVERAGE(2698,2550,2850,2406)</f>
        <v>2626</v>
      </c>
      <c r="O18" s="2" t="s">
        <v>1045</v>
      </c>
      <c r="P18" s="58">
        <v>1400</v>
      </c>
      <c r="Q18" s="2" t="s">
        <v>446</v>
      </c>
      <c r="R18" s="41" t="s">
        <v>32</v>
      </c>
      <c r="S18" s="58">
        <v>1825</v>
      </c>
      <c r="T18" s="2" t="s">
        <v>491</v>
      </c>
      <c r="U18" s="41" t="s">
        <v>28</v>
      </c>
    </row>
    <row r="19" spans="1:21" ht="12.6" customHeight="1">
      <c r="A19" s="66" t="s">
        <v>346</v>
      </c>
      <c r="B19" s="157" t="s">
        <v>485</v>
      </c>
      <c r="C19" s="2">
        <v>35</v>
      </c>
      <c r="D19" s="3">
        <v>1.4</v>
      </c>
      <c r="E19" s="2">
        <v>56</v>
      </c>
      <c r="F19" s="57" t="s">
        <v>153</v>
      </c>
      <c r="G19" s="68" t="s">
        <v>16</v>
      </c>
      <c r="H19" s="69" t="s">
        <v>16</v>
      </c>
      <c r="I19" s="2" t="s">
        <v>16</v>
      </c>
      <c r="J19" s="2" t="s">
        <v>16</v>
      </c>
      <c r="K19" s="41" t="s">
        <v>16</v>
      </c>
      <c r="L19" s="58">
        <f>AVERAGE(1763,1935)</f>
        <v>1849</v>
      </c>
      <c r="M19" s="41" t="s">
        <v>714</v>
      </c>
      <c r="N19" s="58">
        <f>AVERAGE(3329,3520,3700,3304,3350,2485,3164,3147)</f>
        <v>3249.875</v>
      </c>
      <c r="O19" s="2" t="s">
        <v>981</v>
      </c>
      <c r="P19" s="58" t="s">
        <v>16</v>
      </c>
      <c r="Q19" s="2" t="s">
        <v>16</v>
      </c>
      <c r="R19" s="41" t="s">
        <v>16</v>
      </c>
      <c r="S19" s="58">
        <v>3245</v>
      </c>
      <c r="T19" s="2" t="s">
        <v>981</v>
      </c>
      <c r="U19" s="41" t="s">
        <v>28</v>
      </c>
    </row>
    <row r="20" spans="1:21" ht="12.6" customHeight="1">
      <c r="A20" s="66" t="s">
        <v>346</v>
      </c>
      <c r="B20" s="157" t="s">
        <v>443</v>
      </c>
      <c r="C20" s="2">
        <v>35</v>
      </c>
      <c r="D20" s="3">
        <v>2</v>
      </c>
      <c r="E20" s="2">
        <v>56</v>
      </c>
      <c r="F20" s="57" t="s">
        <v>153</v>
      </c>
      <c r="G20" s="68">
        <v>0.3</v>
      </c>
      <c r="H20" s="69">
        <v>0.43</v>
      </c>
      <c r="I20" s="2">
        <v>54</v>
      </c>
      <c r="J20" s="2">
        <v>66</v>
      </c>
      <c r="K20" s="41">
        <v>55</v>
      </c>
      <c r="L20" s="58">
        <f>AVERAGE(738,614,761,700,676,797,738,895,711,788)</f>
        <v>741.8</v>
      </c>
      <c r="M20" s="41" t="s">
        <v>1072</v>
      </c>
      <c r="N20" s="2">
        <f>AVERAGE(960,1099,876,926,977,1051,972,949,898,900,1036,985)</f>
        <v>969.08333333333337</v>
      </c>
      <c r="O20" s="2" t="s">
        <v>1013</v>
      </c>
      <c r="P20" s="58">
        <v>775</v>
      </c>
      <c r="Q20" s="2" t="s">
        <v>1072</v>
      </c>
      <c r="R20" s="41" t="s">
        <v>28</v>
      </c>
      <c r="S20" s="58">
        <v>595</v>
      </c>
      <c r="T20" s="2" t="s">
        <v>459</v>
      </c>
      <c r="U20" s="41" t="s">
        <v>454</v>
      </c>
    </row>
    <row r="21" spans="1:21" ht="12.6" customHeight="1">
      <c r="A21" s="66" t="s">
        <v>346</v>
      </c>
      <c r="B21" s="157" t="s">
        <v>438</v>
      </c>
      <c r="C21" s="2">
        <v>35</v>
      </c>
      <c r="D21" s="3">
        <v>2</v>
      </c>
      <c r="E21" s="2">
        <v>56</v>
      </c>
      <c r="F21" s="57" t="s">
        <v>153</v>
      </c>
      <c r="G21" s="68">
        <v>0.3</v>
      </c>
      <c r="H21" s="69">
        <v>0.43</v>
      </c>
      <c r="I21" s="2">
        <v>54</v>
      </c>
      <c r="J21" s="2">
        <v>66</v>
      </c>
      <c r="K21" s="41">
        <v>55</v>
      </c>
      <c r="L21" s="58">
        <f>AVERAGE(874,995,865,895,907,995,1025,925,973)</f>
        <v>939.33333333333337</v>
      </c>
      <c r="M21" s="41" t="s">
        <v>1072</v>
      </c>
      <c r="N21" s="2">
        <f>AVERAGE(975,1345,1088,1095,1365,1160,1045,1150,1200,1262)</f>
        <v>1168.5</v>
      </c>
      <c r="O21" s="2" t="s">
        <v>1072</v>
      </c>
      <c r="P21" s="58">
        <v>975</v>
      </c>
      <c r="Q21" s="2" t="s">
        <v>1045</v>
      </c>
      <c r="R21" s="41" t="s">
        <v>28</v>
      </c>
      <c r="S21" s="58">
        <v>975</v>
      </c>
      <c r="T21" s="2" t="s">
        <v>981</v>
      </c>
      <c r="U21" s="41" t="s">
        <v>28</v>
      </c>
    </row>
    <row r="22" spans="1:21" ht="12.6" customHeight="1">
      <c r="A22" s="66" t="s">
        <v>346</v>
      </c>
      <c r="B22" s="157" t="s">
        <v>486</v>
      </c>
      <c r="C22" s="2">
        <v>35</v>
      </c>
      <c r="D22" s="3">
        <v>2</v>
      </c>
      <c r="E22" s="2">
        <v>56</v>
      </c>
      <c r="F22" s="57" t="s">
        <v>153</v>
      </c>
      <c r="G22" s="68" t="s">
        <v>16</v>
      </c>
      <c r="H22" s="69" t="s">
        <v>16</v>
      </c>
      <c r="I22" s="2" t="s">
        <v>16</v>
      </c>
      <c r="J22" s="2" t="s">
        <v>16</v>
      </c>
      <c r="K22" s="41" t="s">
        <v>16</v>
      </c>
      <c r="L22" s="58">
        <f>AVERAGE(935,1525,1084,1279,1418,1244)</f>
        <v>1247.5</v>
      </c>
      <c r="M22" s="41" t="s">
        <v>1013</v>
      </c>
      <c r="N22" s="58">
        <f>AVERAGE(1628,1750,1616,1950,2186,1622,1690,1750)</f>
        <v>1774</v>
      </c>
      <c r="O22" s="2" t="s">
        <v>1072</v>
      </c>
      <c r="P22" s="58" t="s">
        <v>16</v>
      </c>
      <c r="Q22" s="2" t="s">
        <v>16</v>
      </c>
      <c r="R22" s="41" t="s">
        <v>16</v>
      </c>
      <c r="S22" s="58">
        <v>995</v>
      </c>
      <c r="T22" s="2" t="s">
        <v>878</v>
      </c>
      <c r="U22" s="41" t="s">
        <v>29</v>
      </c>
    </row>
    <row r="23" spans="1:21" ht="12.6" customHeight="1">
      <c r="A23" s="66" t="s">
        <v>346</v>
      </c>
      <c r="B23" s="157" t="s">
        <v>444</v>
      </c>
      <c r="C23" s="2">
        <v>35</v>
      </c>
      <c r="D23" s="3">
        <v>2.8</v>
      </c>
      <c r="E23" s="2">
        <v>56</v>
      </c>
      <c r="F23" s="57" t="s">
        <v>153</v>
      </c>
      <c r="G23" s="68">
        <v>0.3</v>
      </c>
      <c r="H23" s="69">
        <v>0.41</v>
      </c>
      <c r="I23" s="2">
        <v>40</v>
      </c>
      <c r="J23" s="2">
        <v>63</v>
      </c>
      <c r="K23" s="41" t="s">
        <v>439</v>
      </c>
      <c r="L23" s="58">
        <f>AVERAGE(350,350,300,311,378,398,358,387,350)</f>
        <v>353.55555555555554</v>
      </c>
      <c r="M23" s="41" t="s">
        <v>1072</v>
      </c>
      <c r="N23" s="2">
        <f>AVERAGE(475,496,425,504,456,531,410,480,448,435,522)</f>
        <v>471.09090909090907</v>
      </c>
      <c r="O23" s="2" t="s">
        <v>1072</v>
      </c>
      <c r="P23" s="58">
        <v>395</v>
      </c>
      <c r="Q23" s="2" t="s">
        <v>1072</v>
      </c>
      <c r="R23" s="41" t="s">
        <v>28</v>
      </c>
      <c r="S23" s="58">
        <v>595</v>
      </c>
      <c r="T23" s="2" t="s">
        <v>631</v>
      </c>
      <c r="U23" s="41" t="s">
        <v>629</v>
      </c>
    </row>
    <row r="24" spans="1:21" ht="12.6" customHeight="1">
      <c r="A24" s="60" t="s">
        <v>346</v>
      </c>
      <c r="B24" s="60" t="s">
        <v>440</v>
      </c>
      <c r="C24" s="27">
        <v>35</v>
      </c>
      <c r="D24" s="64">
        <v>2.8</v>
      </c>
      <c r="E24" s="27">
        <v>56</v>
      </c>
      <c r="F24" s="62" t="s">
        <v>153</v>
      </c>
      <c r="G24" s="50">
        <v>0.3</v>
      </c>
      <c r="H24" s="31">
        <v>0.30499999999999999</v>
      </c>
      <c r="I24" s="27">
        <v>41.5</v>
      </c>
      <c r="J24" s="27">
        <v>66</v>
      </c>
      <c r="K24" s="43">
        <v>55</v>
      </c>
      <c r="L24" s="52">
        <f>AVERAGE(475,430,387,456)</f>
        <v>437</v>
      </c>
      <c r="M24" s="43" t="s">
        <v>1072</v>
      </c>
      <c r="N24" s="27">
        <f>AVERAGE(650,503,498,490,550,510,600,575,511)</f>
        <v>543</v>
      </c>
      <c r="O24" s="27" t="s">
        <v>981</v>
      </c>
      <c r="P24" s="52">
        <v>600</v>
      </c>
      <c r="Q24" s="27" t="s">
        <v>917</v>
      </c>
      <c r="R24" s="43" t="s">
        <v>32</v>
      </c>
      <c r="S24" s="52">
        <v>625</v>
      </c>
      <c r="T24" s="27" t="s">
        <v>1045</v>
      </c>
      <c r="U24" s="43" t="s">
        <v>28</v>
      </c>
    </row>
    <row r="25" spans="1:21" ht="12.6" customHeight="1">
      <c r="A25" s="66" t="s">
        <v>346</v>
      </c>
      <c r="B25" s="157" t="s">
        <v>495</v>
      </c>
      <c r="C25" s="2">
        <v>50</v>
      </c>
      <c r="D25" s="3">
        <v>1.4</v>
      </c>
      <c r="E25" s="2">
        <v>80</v>
      </c>
      <c r="F25" s="57" t="s">
        <v>153</v>
      </c>
      <c r="G25" s="68">
        <v>0.5</v>
      </c>
      <c r="H25" s="69">
        <v>0.49</v>
      </c>
      <c r="I25" s="2">
        <v>51</v>
      </c>
      <c r="J25" s="2">
        <v>70</v>
      </c>
      <c r="K25" s="41">
        <v>60</v>
      </c>
      <c r="L25" s="2">
        <f>AVERAGE(841,899,975,945,810,941,722,920,860,945,971)</f>
        <v>893.5454545454545</v>
      </c>
      <c r="M25" s="2" t="s">
        <v>1072</v>
      </c>
      <c r="N25" s="58">
        <f>AVERAGE(1190,1158,1000,1080,1300,1299,1035,1025,1035,1124)</f>
        <v>1124.5999999999999</v>
      </c>
      <c r="O25" s="2" t="s">
        <v>1072</v>
      </c>
      <c r="P25" s="58">
        <v>1060</v>
      </c>
      <c r="Q25" s="2" t="s">
        <v>981</v>
      </c>
      <c r="R25" s="41" t="s">
        <v>33</v>
      </c>
      <c r="S25" s="58">
        <v>1275</v>
      </c>
      <c r="T25" s="2" t="s">
        <v>1072</v>
      </c>
      <c r="U25" s="41" t="s">
        <v>28</v>
      </c>
    </row>
    <row r="26" spans="1:21" ht="12.6" customHeight="1">
      <c r="A26" s="66" t="s">
        <v>346</v>
      </c>
      <c r="B26" s="157" t="s">
        <v>704</v>
      </c>
      <c r="C26" s="2">
        <v>50</v>
      </c>
      <c r="D26" s="3">
        <v>1.4</v>
      </c>
      <c r="E26" s="2">
        <v>80</v>
      </c>
      <c r="F26" s="57" t="s">
        <v>153</v>
      </c>
      <c r="G26" s="68" t="s">
        <v>16</v>
      </c>
      <c r="H26" s="69" t="s">
        <v>16</v>
      </c>
      <c r="I26" s="2" t="s">
        <v>16</v>
      </c>
      <c r="J26" s="2" t="s">
        <v>16</v>
      </c>
      <c r="K26" s="41" t="s">
        <v>16</v>
      </c>
      <c r="L26" s="58">
        <f>AVERAGE(1139,2225,2795)</f>
        <v>2053</v>
      </c>
      <c r="M26" s="2" t="s">
        <v>1072</v>
      </c>
      <c r="N26" s="58">
        <f>AVERAGE(3150,3495,4200,3774,4167,4351,3633,3578)</f>
        <v>3793.5</v>
      </c>
      <c r="O26" s="2" t="s">
        <v>1047</v>
      </c>
      <c r="P26" s="58">
        <v>3080</v>
      </c>
      <c r="Q26" s="2" t="s">
        <v>816</v>
      </c>
      <c r="R26" s="41" t="s">
        <v>33</v>
      </c>
      <c r="S26" s="58">
        <v>4800</v>
      </c>
      <c r="T26" s="2" t="s">
        <v>772</v>
      </c>
      <c r="U26" s="41" t="s">
        <v>514</v>
      </c>
    </row>
    <row r="27" spans="1:21" s="17" customFormat="1" ht="12.6" customHeight="1">
      <c r="A27" s="17" t="s">
        <v>346</v>
      </c>
      <c r="B27" s="17" t="s">
        <v>462</v>
      </c>
      <c r="C27" s="3">
        <v>50</v>
      </c>
      <c r="D27" s="73">
        <v>2</v>
      </c>
      <c r="E27" s="2">
        <v>80</v>
      </c>
      <c r="F27" s="68" t="s">
        <v>153</v>
      </c>
      <c r="G27" s="68">
        <v>0.5</v>
      </c>
      <c r="H27" s="69">
        <v>0.28999999999999998</v>
      </c>
      <c r="I27" s="2">
        <v>41</v>
      </c>
      <c r="J27" s="2">
        <v>66</v>
      </c>
      <c r="K27" s="59">
        <v>55</v>
      </c>
      <c r="L27" s="58">
        <f>AVERAGE(375,390,379,395,445,400,460,425,425)</f>
        <v>410.44444444444446</v>
      </c>
      <c r="M27" s="59" t="s">
        <v>1072</v>
      </c>
      <c r="N27" s="58">
        <f>AVERAGE(579,494,448,541,598,500,495,485,461,500)</f>
        <v>510.1</v>
      </c>
      <c r="O27" s="3" t="s">
        <v>1072</v>
      </c>
      <c r="P27" s="74">
        <v>350</v>
      </c>
      <c r="Q27" s="3" t="s">
        <v>1072</v>
      </c>
      <c r="R27" s="41" t="s">
        <v>32</v>
      </c>
      <c r="S27" s="74">
        <v>425</v>
      </c>
      <c r="T27" s="3" t="s">
        <v>1072</v>
      </c>
      <c r="U27" s="59" t="s">
        <v>28</v>
      </c>
    </row>
    <row r="28" spans="1:21" ht="12.6" customHeight="1">
      <c r="A28" s="60" t="s">
        <v>346</v>
      </c>
      <c r="B28" s="60" t="s">
        <v>453</v>
      </c>
      <c r="C28" s="27">
        <v>60</v>
      </c>
      <c r="D28" s="64">
        <v>2.8</v>
      </c>
      <c r="E28" s="27">
        <v>96</v>
      </c>
      <c r="F28" s="62" t="s">
        <v>153</v>
      </c>
      <c r="G28" s="50">
        <v>0.27</v>
      </c>
      <c r="H28" s="31">
        <v>0.4</v>
      </c>
      <c r="I28" s="27">
        <v>62.3</v>
      </c>
      <c r="J28" s="27">
        <v>67.5</v>
      </c>
      <c r="K28" s="43">
        <v>55</v>
      </c>
      <c r="L28" s="27">
        <f>AVERAGE(341,450,486,421,475,399,400,456,405)</f>
        <v>425.88888888888891</v>
      </c>
      <c r="M28" s="27" t="s">
        <v>1045</v>
      </c>
      <c r="N28" s="52">
        <f>AVERAGE(680,586,770,640,626,590,575,642,682,630)</f>
        <v>642.1</v>
      </c>
      <c r="O28" s="27" t="s">
        <v>1072</v>
      </c>
      <c r="P28" s="52">
        <v>490</v>
      </c>
      <c r="Q28" s="27" t="s">
        <v>1072</v>
      </c>
      <c r="R28" s="43" t="s">
        <v>1063</v>
      </c>
      <c r="S28" s="52">
        <v>750</v>
      </c>
      <c r="T28" s="27" t="s">
        <v>1045</v>
      </c>
      <c r="U28" s="43" t="s">
        <v>29</v>
      </c>
    </row>
    <row r="29" spans="1:21" ht="12.6" customHeight="1">
      <c r="A29" s="66" t="s">
        <v>346</v>
      </c>
      <c r="B29" s="157" t="s">
        <v>222</v>
      </c>
      <c r="C29" s="2">
        <v>80</v>
      </c>
      <c r="D29" s="3">
        <v>1.4</v>
      </c>
      <c r="E29" s="2">
        <v>128</v>
      </c>
      <c r="F29" s="57" t="s">
        <v>153</v>
      </c>
      <c r="G29" s="68">
        <v>0.8</v>
      </c>
      <c r="H29" s="69">
        <v>0.7</v>
      </c>
      <c r="I29" s="2">
        <v>69</v>
      </c>
      <c r="J29" s="2">
        <v>75</v>
      </c>
      <c r="K29" s="41">
        <v>67</v>
      </c>
      <c r="L29" s="2">
        <f>AVERAGE(1728,1691,1395,1629,1734,1850)</f>
        <v>1671.1666666666667</v>
      </c>
      <c r="M29" s="2" t="s">
        <v>981</v>
      </c>
      <c r="N29" s="71">
        <f>AVERAGE(2195,1890,1825,2100,2250,2195,2345,2395,2200)</f>
        <v>2155</v>
      </c>
      <c r="O29" s="72" t="s">
        <v>1072</v>
      </c>
      <c r="P29" s="58">
        <v>2572</v>
      </c>
      <c r="Q29" s="2" t="s">
        <v>981</v>
      </c>
      <c r="R29" s="41" t="s">
        <v>30</v>
      </c>
      <c r="S29" s="58">
        <v>1845</v>
      </c>
      <c r="T29" s="2" t="s">
        <v>890</v>
      </c>
      <c r="U29" s="41" t="s">
        <v>28</v>
      </c>
    </row>
    <row r="30" spans="1:21" ht="12.6" customHeight="1">
      <c r="A30" s="66" t="s">
        <v>346</v>
      </c>
      <c r="B30" s="157" t="s">
        <v>749</v>
      </c>
      <c r="C30" s="2">
        <v>80</v>
      </c>
      <c r="D30" s="3">
        <v>1.4</v>
      </c>
      <c r="E30" s="2">
        <v>128</v>
      </c>
      <c r="F30" s="57" t="s">
        <v>153</v>
      </c>
      <c r="G30" s="68">
        <v>0.8</v>
      </c>
      <c r="H30" s="69">
        <v>0.7</v>
      </c>
      <c r="I30" s="2">
        <v>68</v>
      </c>
      <c r="J30" s="2">
        <v>75</v>
      </c>
      <c r="K30" s="41">
        <v>67</v>
      </c>
      <c r="L30" s="58">
        <f>AVERAGE(1999,2156,2167)</f>
        <v>2107.3333333333335</v>
      </c>
      <c r="M30" s="2" t="s">
        <v>1072</v>
      </c>
      <c r="N30" s="58">
        <f>AVERAGE(2732,3150,3500)</f>
        <v>3127.3333333333335</v>
      </c>
      <c r="O30" s="41" t="s">
        <v>1072</v>
      </c>
      <c r="P30" s="58" t="s">
        <v>16</v>
      </c>
      <c r="Q30" s="2" t="s">
        <v>16</v>
      </c>
      <c r="R30" s="41" t="s">
        <v>16</v>
      </c>
      <c r="S30" s="58" t="s">
        <v>16</v>
      </c>
      <c r="T30" s="2" t="s">
        <v>16</v>
      </c>
      <c r="U30" s="41" t="s">
        <v>16</v>
      </c>
    </row>
    <row r="31" spans="1:21" ht="12.6" customHeight="1">
      <c r="A31" s="66" t="s">
        <v>346</v>
      </c>
      <c r="B31" s="157" t="s">
        <v>464</v>
      </c>
      <c r="C31" s="2">
        <v>90</v>
      </c>
      <c r="D31" s="3">
        <v>2</v>
      </c>
      <c r="E31" s="2">
        <v>144</v>
      </c>
      <c r="F31" s="57" t="s">
        <v>153</v>
      </c>
      <c r="G31" s="68">
        <v>0.7</v>
      </c>
      <c r="H31" s="69">
        <v>0.52</v>
      </c>
      <c r="I31" s="2">
        <v>61</v>
      </c>
      <c r="J31" s="2">
        <v>69</v>
      </c>
      <c r="K31" s="41">
        <v>55</v>
      </c>
      <c r="L31" s="2">
        <f>AVERAGE(459,533,585,650,590,585,605,600,550,558)</f>
        <v>571.5</v>
      </c>
      <c r="M31" s="16" t="s">
        <v>1072</v>
      </c>
      <c r="N31" s="58">
        <f>AVERAGE(980,995,875,899,850,795,975,812,910,800)</f>
        <v>889.1</v>
      </c>
      <c r="O31" s="41" t="s">
        <v>1072</v>
      </c>
      <c r="P31" s="58">
        <v>715</v>
      </c>
      <c r="Q31" s="2" t="s">
        <v>1072</v>
      </c>
      <c r="R31" s="41" t="s">
        <v>1063</v>
      </c>
      <c r="S31" s="58">
        <v>850</v>
      </c>
      <c r="T31" s="2" t="s">
        <v>981</v>
      </c>
      <c r="U31" s="41" t="s">
        <v>28</v>
      </c>
    </row>
    <row r="32" spans="1:21" ht="12.6" customHeight="1">
      <c r="A32" s="66" t="s">
        <v>346</v>
      </c>
      <c r="B32" s="157" t="s">
        <v>546</v>
      </c>
      <c r="C32" s="2">
        <v>90</v>
      </c>
      <c r="D32" s="3">
        <v>2</v>
      </c>
      <c r="E32" s="2">
        <v>144</v>
      </c>
      <c r="F32" s="57" t="s">
        <v>153</v>
      </c>
      <c r="G32" s="68">
        <v>0.7</v>
      </c>
      <c r="H32" s="69">
        <v>0.52</v>
      </c>
      <c r="I32" s="2">
        <v>59</v>
      </c>
      <c r="J32" s="2">
        <v>70</v>
      </c>
      <c r="K32" s="41">
        <v>60</v>
      </c>
      <c r="L32" s="2">
        <f>AVERAGE(1605)</f>
        <v>1605</v>
      </c>
      <c r="M32" s="2" t="s">
        <v>917</v>
      </c>
      <c r="N32" s="58">
        <f>AVERAGE(3950,3295,3410,3250,2997,3397,4500,5045,3145,3622,3005)</f>
        <v>3601.4545454545455</v>
      </c>
      <c r="O32" s="41" t="s">
        <v>1072</v>
      </c>
      <c r="P32" s="58">
        <v>4500</v>
      </c>
      <c r="Q32" s="2" t="s">
        <v>686</v>
      </c>
      <c r="R32" s="41" t="s">
        <v>445</v>
      </c>
      <c r="S32" s="58">
        <v>4620</v>
      </c>
      <c r="T32" s="2" t="s">
        <v>1072</v>
      </c>
      <c r="U32" s="41" t="s">
        <v>1063</v>
      </c>
    </row>
    <row r="33" spans="1:21" s="17" customFormat="1" ht="12.6" customHeight="1">
      <c r="A33" s="17" t="s">
        <v>346</v>
      </c>
      <c r="B33" s="17" t="s">
        <v>461</v>
      </c>
      <c r="C33" s="3">
        <v>90</v>
      </c>
      <c r="D33" s="73">
        <v>2.8</v>
      </c>
      <c r="E33" s="2">
        <v>144</v>
      </c>
      <c r="F33" s="68" t="s">
        <v>153</v>
      </c>
      <c r="G33" s="68">
        <v>0.7</v>
      </c>
      <c r="H33" s="69">
        <v>0.45</v>
      </c>
      <c r="I33" s="2">
        <v>57</v>
      </c>
      <c r="J33" s="2">
        <v>67</v>
      </c>
      <c r="K33" s="59">
        <v>55</v>
      </c>
      <c r="L33" s="58">
        <f>AVERAGE(460,400,333,375,335,368,350,325,393)</f>
        <v>371</v>
      </c>
      <c r="M33" s="59" t="s">
        <v>1072</v>
      </c>
      <c r="N33" s="58">
        <f>AVERAGE(545,500,745,527,613,680,493,607,583,499,527,570)</f>
        <v>574.08333333333337</v>
      </c>
      <c r="O33" s="3" t="s">
        <v>1045</v>
      </c>
      <c r="P33" s="74">
        <v>465</v>
      </c>
      <c r="Q33" s="3" t="s">
        <v>981</v>
      </c>
      <c r="R33" s="41" t="s">
        <v>28</v>
      </c>
      <c r="S33" s="74">
        <v>685</v>
      </c>
      <c r="T33" s="3" t="s">
        <v>1072</v>
      </c>
      <c r="U33" s="59" t="s">
        <v>1063</v>
      </c>
    </row>
    <row r="34" spans="1:21" ht="12.6" customHeight="1">
      <c r="A34" s="66" t="s">
        <v>346</v>
      </c>
      <c r="B34" s="157" t="s">
        <v>977</v>
      </c>
      <c r="C34" s="2">
        <v>100</v>
      </c>
      <c r="D34" s="3">
        <v>2.8</v>
      </c>
      <c r="E34" s="2">
        <v>160</v>
      </c>
      <c r="F34" s="57" t="s">
        <v>153</v>
      </c>
      <c r="G34" s="68">
        <v>0.45</v>
      </c>
      <c r="H34" s="69">
        <v>0.76</v>
      </c>
      <c r="I34" s="2">
        <v>104.5</v>
      </c>
      <c r="J34" s="2">
        <v>73</v>
      </c>
      <c r="K34" s="41">
        <v>60</v>
      </c>
      <c r="L34" s="2">
        <f>AVERAGE(1417,1076,1399,1149,1499,1437,1399,1599,1519,1550)</f>
        <v>1404.4</v>
      </c>
      <c r="M34" s="16" t="s">
        <v>1072</v>
      </c>
      <c r="N34" s="58">
        <f>AVERAGE(1948,1998,1700,2198,1998,2090,1750,1850,1950,2068,)</f>
        <v>1777.2727272727273</v>
      </c>
      <c r="O34" s="41" t="s">
        <v>1072</v>
      </c>
      <c r="P34" s="58">
        <v>1395</v>
      </c>
      <c r="Q34" s="2" t="s">
        <v>1045</v>
      </c>
      <c r="R34" s="41" t="s">
        <v>29</v>
      </c>
      <c r="S34" s="58">
        <v>1845</v>
      </c>
      <c r="T34" s="2" t="s">
        <v>1072</v>
      </c>
      <c r="U34" s="41" t="s">
        <v>28</v>
      </c>
    </row>
    <row r="35" spans="1:21" ht="12.6" customHeight="1">
      <c r="A35" s="66" t="s">
        <v>346</v>
      </c>
      <c r="B35" s="157" t="s">
        <v>978</v>
      </c>
      <c r="C35" s="2">
        <v>100</v>
      </c>
      <c r="D35" s="3">
        <v>4</v>
      </c>
      <c r="E35" s="2">
        <v>160</v>
      </c>
      <c r="F35" s="57" t="s">
        <v>153</v>
      </c>
      <c r="G35" s="68" t="s">
        <v>16</v>
      </c>
      <c r="H35" s="69" t="s">
        <v>16</v>
      </c>
      <c r="I35" s="2" t="s">
        <v>16</v>
      </c>
      <c r="J35" s="2" t="s">
        <v>16</v>
      </c>
      <c r="K35" s="41">
        <v>55</v>
      </c>
      <c r="L35" s="2">
        <f>AVERAGE(304,269,300,380,261,365,333,316,378)</f>
        <v>322.88888888888891</v>
      </c>
      <c r="M35" s="16" t="s">
        <v>1072</v>
      </c>
      <c r="N35" s="58">
        <f>AVERAGE(473,475,469,579,599,441)</f>
        <v>506</v>
      </c>
      <c r="O35" s="41" t="s">
        <v>981</v>
      </c>
      <c r="P35" s="58">
        <v>350</v>
      </c>
      <c r="Q35" s="2" t="s">
        <v>981</v>
      </c>
      <c r="R35" s="41" t="s">
        <v>33</v>
      </c>
      <c r="S35" s="58" t="s">
        <v>16</v>
      </c>
      <c r="T35" s="2" t="s">
        <v>16</v>
      </c>
      <c r="U35" s="41" t="s">
        <v>16</v>
      </c>
    </row>
    <row r="36" spans="1:21" ht="12.6" customHeight="1">
      <c r="A36" s="60" t="s">
        <v>346</v>
      </c>
      <c r="B36" s="60" t="s">
        <v>458</v>
      </c>
      <c r="C36" s="27">
        <v>135</v>
      </c>
      <c r="D36" s="64">
        <v>2.8</v>
      </c>
      <c r="E36" s="27">
        <v>216</v>
      </c>
      <c r="F36" s="62" t="s">
        <v>153</v>
      </c>
      <c r="G36" s="50">
        <v>1.5</v>
      </c>
      <c r="H36" s="31">
        <v>0.73</v>
      </c>
      <c r="I36" s="27">
        <v>93</v>
      </c>
      <c r="J36" s="27">
        <v>67</v>
      </c>
      <c r="K36" s="43">
        <v>55</v>
      </c>
      <c r="L36" s="27">
        <f>AVERAGE(253,251,246,225,213,299,250,255,255,241)</f>
        <v>248.8</v>
      </c>
      <c r="M36" s="27" t="s">
        <v>1072</v>
      </c>
      <c r="N36" s="52">
        <f>AVERAGE(400,325,475,285,300,350,350,380)</f>
        <v>358.125</v>
      </c>
      <c r="O36" s="43" t="s">
        <v>1047</v>
      </c>
      <c r="P36" s="52">
        <f>325*CA.US</f>
        <v>227.49999999999997</v>
      </c>
      <c r="Q36" s="27" t="s">
        <v>1072</v>
      </c>
      <c r="R36" s="43" t="s">
        <v>35</v>
      </c>
      <c r="S36" s="52">
        <v>420</v>
      </c>
      <c r="T36" s="27" t="s">
        <v>1072</v>
      </c>
      <c r="U36" s="43" t="s">
        <v>28</v>
      </c>
    </row>
    <row r="37" spans="1:21" ht="12.6" customHeight="1">
      <c r="A37" s="66" t="s">
        <v>346</v>
      </c>
      <c r="B37" s="157" t="s">
        <v>447</v>
      </c>
      <c r="C37" s="2">
        <v>180</v>
      </c>
      <c r="D37" s="3">
        <v>2</v>
      </c>
      <c r="E37" s="2">
        <v>288</v>
      </c>
      <c r="F37" s="57" t="s">
        <v>153</v>
      </c>
      <c r="G37" s="68">
        <v>1.5</v>
      </c>
      <c r="H37" s="69">
        <v>2.5</v>
      </c>
      <c r="I37" s="2">
        <v>175</v>
      </c>
      <c r="J37" s="2">
        <v>117</v>
      </c>
      <c r="K37" s="41">
        <v>100</v>
      </c>
      <c r="L37" s="71">
        <f>AVERAGE(3353,3655,3700,4000,3038)</f>
        <v>3549.2</v>
      </c>
      <c r="M37" s="72" t="s">
        <v>996</v>
      </c>
      <c r="N37" s="2">
        <f>AVERAGE(6250,6450,5450,5500,4600,4750,4232)</f>
        <v>5318.8571428571431</v>
      </c>
      <c r="O37" s="2" t="s">
        <v>1047</v>
      </c>
      <c r="P37" s="58">
        <v>3200</v>
      </c>
      <c r="Q37" s="2" t="s">
        <v>466</v>
      </c>
      <c r="R37" s="41" t="s">
        <v>514</v>
      </c>
      <c r="S37" s="58">
        <v>4495</v>
      </c>
      <c r="T37" s="2" t="s">
        <v>536</v>
      </c>
      <c r="U37" s="41" t="s">
        <v>29</v>
      </c>
    </row>
    <row r="38" spans="1:21" ht="12.6" customHeight="1">
      <c r="A38" s="66" t="s">
        <v>346</v>
      </c>
      <c r="B38" s="157" t="s">
        <v>448</v>
      </c>
      <c r="C38" s="2">
        <v>180</v>
      </c>
      <c r="D38" s="3">
        <v>2.8</v>
      </c>
      <c r="E38" s="2">
        <v>288</v>
      </c>
      <c r="F38" s="57" t="s">
        <v>153</v>
      </c>
      <c r="G38" s="68">
        <v>2</v>
      </c>
      <c r="H38" s="69">
        <v>0.97</v>
      </c>
      <c r="I38" s="2">
        <v>132</v>
      </c>
      <c r="J38" s="2">
        <v>76</v>
      </c>
      <c r="K38" s="41">
        <v>67</v>
      </c>
      <c r="L38" s="58">
        <f>AVERAGE(2646,2800,2400)</f>
        <v>2615.3333333333335</v>
      </c>
      <c r="M38" s="41" t="s">
        <v>686</v>
      </c>
      <c r="N38" s="2">
        <f>AVERAGE(3150,3000,3549,3499,3910,4138,3395,3559)</f>
        <v>3525</v>
      </c>
      <c r="O38" s="2" t="s">
        <v>1047</v>
      </c>
      <c r="P38" s="58">
        <v>2100</v>
      </c>
      <c r="Q38" s="2" t="s">
        <v>552</v>
      </c>
      <c r="R38" s="41" t="s">
        <v>456</v>
      </c>
      <c r="S38" s="58">
        <v>3395</v>
      </c>
      <c r="T38" s="2" t="s">
        <v>540</v>
      </c>
      <c r="U38" s="41" t="s">
        <v>28</v>
      </c>
    </row>
    <row r="39" spans="1:21" ht="12.6" customHeight="1">
      <c r="A39" s="66" t="s">
        <v>346</v>
      </c>
      <c r="B39" s="157" t="s">
        <v>449</v>
      </c>
      <c r="C39" s="2">
        <v>180</v>
      </c>
      <c r="D39" s="3">
        <v>2.8</v>
      </c>
      <c r="E39" s="2">
        <v>288</v>
      </c>
      <c r="F39" s="57" t="s">
        <v>153</v>
      </c>
      <c r="G39" s="68">
        <v>1.8</v>
      </c>
      <c r="H39" s="69">
        <v>0.81</v>
      </c>
      <c r="I39" s="2">
        <v>121</v>
      </c>
      <c r="J39" s="2">
        <v>75</v>
      </c>
      <c r="K39" s="41" t="s">
        <v>441</v>
      </c>
      <c r="L39" s="58">
        <f>AVERAGE(350,388,400,360,411,330,350,360,436,390,335)</f>
        <v>373.63636363636363</v>
      </c>
      <c r="M39" s="41" t="s">
        <v>1072</v>
      </c>
      <c r="N39" s="2">
        <f>AVERAGE(750,645,480,675,610,450,526,561,600,595,519)</f>
        <v>582.81818181818187</v>
      </c>
      <c r="O39" s="2" t="s">
        <v>1033</v>
      </c>
      <c r="P39" s="58">
        <v>385</v>
      </c>
      <c r="Q39" s="2" t="s">
        <v>1072</v>
      </c>
      <c r="R39" s="41" t="s">
        <v>1063</v>
      </c>
      <c r="S39" s="58">
        <v>500</v>
      </c>
      <c r="T39" s="2" t="s">
        <v>1072</v>
      </c>
      <c r="U39" s="41" t="s">
        <v>32</v>
      </c>
    </row>
    <row r="40" spans="1:21" ht="12.6" customHeight="1">
      <c r="A40" s="66" t="s">
        <v>346</v>
      </c>
      <c r="B40" s="157" t="s">
        <v>465</v>
      </c>
      <c r="C40" s="2">
        <v>180</v>
      </c>
      <c r="D40" s="3">
        <v>3.4</v>
      </c>
      <c r="E40" s="2">
        <v>288</v>
      </c>
      <c r="F40" s="57" t="s">
        <v>153</v>
      </c>
      <c r="G40" s="68">
        <v>2.5</v>
      </c>
      <c r="H40" s="69">
        <v>0.75</v>
      </c>
      <c r="I40" s="2">
        <v>133</v>
      </c>
      <c r="J40" s="2">
        <v>67</v>
      </c>
      <c r="K40" s="41">
        <v>60</v>
      </c>
      <c r="L40" s="58">
        <f>AVERAGE(717,725,850,706,820,781,780,900,825,900)</f>
        <v>800.4</v>
      </c>
      <c r="M40" s="41" t="s">
        <v>1072</v>
      </c>
      <c r="N40" s="2">
        <f>AVERAGE(1145,1225,1160,1118,998,1020,1042,960,995,1001)</f>
        <v>1066.4000000000001</v>
      </c>
      <c r="O40" s="2" t="s">
        <v>1072</v>
      </c>
      <c r="P40" s="58">
        <v>915</v>
      </c>
      <c r="Q40" s="2" t="s">
        <v>1072</v>
      </c>
      <c r="R40" s="41" t="s">
        <v>1063</v>
      </c>
      <c r="S40" s="58">
        <v>1125</v>
      </c>
      <c r="T40" s="2" t="s">
        <v>981</v>
      </c>
      <c r="U40" s="41" t="s">
        <v>28</v>
      </c>
    </row>
    <row r="41" spans="1:21" ht="12.6" customHeight="1">
      <c r="A41" s="66" t="s">
        <v>346</v>
      </c>
      <c r="B41" s="157" t="s">
        <v>450</v>
      </c>
      <c r="C41" s="2">
        <v>180</v>
      </c>
      <c r="D41" s="3">
        <v>4</v>
      </c>
      <c r="E41" s="2">
        <v>288</v>
      </c>
      <c r="F41" s="57" t="s">
        <v>153</v>
      </c>
      <c r="G41" s="68">
        <v>1.8</v>
      </c>
      <c r="H41" s="69">
        <v>0.55000000000000004</v>
      </c>
      <c r="I41" s="2">
        <v>100</v>
      </c>
      <c r="J41" s="2">
        <v>65.5</v>
      </c>
      <c r="K41" s="41">
        <v>55</v>
      </c>
      <c r="L41" s="58">
        <f>AVERAGE(269,270,319,346,225,281,270,325,340,258)</f>
        <v>290.3</v>
      </c>
      <c r="M41" s="41" t="s">
        <v>1072</v>
      </c>
      <c r="N41" s="2">
        <f>AVERAGE(650,500,509,449,476,385,420,481,389,535,438)</f>
        <v>475.63636363636363</v>
      </c>
      <c r="O41" s="2" t="s">
        <v>970</v>
      </c>
      <c r="P41" s="58">
        <v>350</v>
      </c>
      <c r="Q41" s="2" t="s">
        <v>1072</v>
      </c>
      <c r="R41" s="41" t="s">
        <v>1063</v>
      </c>
      <c r="S41" s="58">
        <v>495</v>
      </c>
      <c r="T41" s="2" t="s">
        <v>686</v>
      </c>
      <c r="U41" s="41" t="s">
        <v>29</v>
      </c>
    </row>
    <row r="42" spans="1:21" ht="12" customHeight="1">
      <c r="A42" s="66" t="s">
        <v>346</v>
      </c>
      <c r="B42" s="157" t="s">
        <v>451</v>
      </c>
      <c r="C42" s="2">
        <v>250</v>
      </c>
      <c r="D42" s="3">
        <v>4</v>
      </c>
      <c r="E42" s="2">
        <v>400</v>
      </c>
      <c r="F42" s="57" t="s">
        <v>153</v>
      </c>
      <c r="G42" s="68">
        <v>4</v>
      </c>
      <c r="H42" s="69">
        <v>0.49</v>
      </c>
      <c r="I42" s="2" t="s">
        <v>16</v>
      </c>
      <c r="J42" s="2">
        <v>77.5</v>
      </c>
      <c r="K42" s="41" t="s">
        <v>455</v>
      </c>
      <c r="L42" s="58">
        <f>AVERAGE(305,360,339,300,243,334,285,350,331,275)</f>
        <v>312.2</v>
      </c>
      <c r="M42" s="41" t="s">
        <v>1072</v>
      </c>
      <c r="N42" s="2">
        <f>AVERAGE(495,495,372,455,425,510,775,480,575,550,567)</f>
        <v>518.09090909090912</v>
      </c>
      <c r="O42" s="2" t="s">
        <v>1072</v>
      </c>
      <c r="P42" s="58">
        <f>325*CA.US</f>
        <v>227.49999999999997</v>
      </c>
      <c r="Q42" s="2" t="s">
        <v>1045</v>
      </c>
      <c r="R42" s="41" t="s">
        <v>35</v>
      </c>
      <c r="S42" s="58">
        <v>450</v>
      </c>
      <c r="T42" s="2" t="s">
        <v>1072</v>
      </c>
      <c r="U42" s="41" t="s">
        <v>1063</v>
      </c>
    </row>
    <row r="43" spans="1:21" ht="12.6" customHeight="1">
      <c r="A43" s="66" t="s">
        <v>346</v>
      </c>
      <c r="B43" s="157" t="s">
        <v>452</v>
      </c>
      <c r="C43" s="2">
        <v>280</v>
      </c>
      <c r="D43" s="3">
        <v>2.8</v>
      </c>
      <c r="E43" s="2">
        <v>448</v>
      </c>
      <c r="F43" s="57" t="s">
        <v>153</v>
      </c>
      <c r="G43" s="68" t="s">
        <v>16</v>
      </c>
      <c r="H43" s="69" t="s">
        <v>16</v>
      </c>
      <c r="I43" s="2" t="s">
        <v>16</v>
      </c>
      <c r="J43" s="2" t="s">
        <v>16</v>
      </c>
      <c r="K43" s="41" t="s">
        <v>16</v>
      </c>
      <c r="L43" s="58">
        <f>AVERAGE(2199,2299,2311,2100,2200,2199,2250,1825,1876,2043)</f>
        <v>2130.1999999999998</v>
      </c>
      <c r="M43" s="41" t="s">
        <v>1033</v>
      </c>
      <c r="N43" s="2">
        <f>AVERAGE(3150,2606,3210,2908,3850,3250,3199)</f>
        <v>3167.5714285714284</v>
      </c>
      <c r="O43" s="2" t="s">
        <v>1047</v>
      </c>
      <c r="P43" s="58">
        <v>3050</v>
      </c>
      <c r="Q43" s="2" t="s">
        <v>816</v>
      </c>
      <c r="R43" s="41" t="s">
        <v>33</v>
      </c>
      <c r="S43" s="58">
        <v>6795</v>
      </c>
      <c r="T43" s="2" t="s">
        <v>483</v>
      </c>
      <c r="U43" s="41" t="s">
        <v>29</v>
      </c>
    </row>
    <row r="44" spans="1:21" ht="12.6" customHeight="1">
      <c r="A44" s="60" t="s">
        <v>346</v>
      </c>
      <c r="B44" s="60" t="s">
        <v>488</v>
      </c>
      <c r="C44" s="27">
        <v>280</v>
      </c>
      <c r="D44" s="64">
        <v>4</v>
      </c>
      <c r="E44" s="27">
        <v>448</v>
      </c>
      <c r="F44" s="62" t="s">
        <v>153</v>
      </c>
      <c r="G44" s="50">
        <v>1.7</v>
      </c>
      <c r="H44" s="31">
        <v>1.875</v>
      </c>
      <c r="I44" s="27">
        <v>208</v>
      </c>
      <c r="J44" s="27">
        <v>88</v>
      </c>
      <c r="K44" s="43">
        <v>77</v>
      </c>
      <c r="L44" s="52">
        <f>AVERAGE(1849)</f>
        <v>1849</v>
      </c>
      <c r="M44" s="43" t="s">
        <v>579</v>
      </c>
      <c r="N44" s="27">
        <f>AVERAGE(5213,5850,4050,3750,5000,4432,5300,4900,3499)</f>
        <v>4666</v>
      </c>
      <c r="O44" s="27" t="s">
        <v>967</v>
      </c>
      <c r="P44" s="52" t="s">
        <v>16</v>
      </c>
      <c r="Q44" s="27" t="s">
        <v>16</v>
      </c>
      <c r="R44" s="43" t="s">
        <v>16</v>
      </c>
      <c r="S44" s="52">
        <v>3995</v>
      </c>
      <c r="T44" s="27" t="s">
        <v>491</v>
      </c>
      <c r="U44" s="43" t="s">
        <v>29</v>
      </c>
    </row>
    <row r="45" spans="1:21" s="17" customFormat="1" ht="12.6" customHeight="1">
      <c r="A45" s="97" t="s">
        <v>413</v>
      </c>
      <c r="B45" s="98"/>
      <c r="C45" s="34"/>
      <c r="D45" s="99"/>
      <c r="E45" s="34"/>
      <c r="F45" s="100" t="s">
        <v>16</v>
      </c>
      <c r="G45" s="101" t="s">
        <v>16</v>
      </c>
      <c r="H45" s="102" t="s">
        <v>16</v>
      </c>
      <c r="I45" s="34" t="s">
        <v>16</v>
      </c>
      <c r="J45" s="34" t="s">
        <v>16</v>
      </c>
      <c r="K45" s="34" t="s">
        <v>16</v>
      </c>
      <c r="L45" s="34" t="s">
        <v>16</v>
      </c>
      <c r="M45" s="34" t="s">
        <v>16</v>
      </c>
      <c r="N45" s="34" t="s">
        <v>16</v>
      </c>
      <c r="O45" s="34" t="s">
        <v>16</v>
      </c>
      <c r="P45" s="34" t="s">
        <v>16</v>
      </c>
      <c r="Q45" s="34" t="s">
        <v>16</v>
      </c>
      <c r="R45" s="34" t="s">
        <v>16</v>
      </c>
      <c r="S45" s="34" t="s">
        <v>16</v>
      </c>
      <c r="T45" s="34" t="s">
        <v>16</v>
      </c>
      <c r="U45" s="34" t="s">
        <v>16</v>
      </c>
    </row>
    <row r="46" spans="1:21" ht="12.6" customHeight="1">
      <c r="A46" s="66" t="s">
        <v>27</v>
      </c>
      <c r="B46" s="158" t="s">
        <v>288</v>
      </c>
      <c r="C46" s="2">
        <v>6</v>
      </c>
      <c r="D46" s="3">
        <v>2.8</v>
      </c>
      <c r="E46" s="2">
        <v>9.6</v>
      </c>
      <c r="F46" s="57" t="s">
        <v>156</v>
      </c>
      <c r="G46" s="68">
        <v>0.25</v>
      </c>
      <c r="H46" s="69">
        <v>5.2</v>
      </c>
      <c r="I46" s="2">
        <v>160</v>
      </c>
      <c r="J46" s="2">
        <v>236</v>
      </c>
      <c r="K46" s="41" t="s">
        <v>143</v>
      </c>
      <c r="L46" s="71">
        <f>AVERAGE(49990)</f>
        <v>49990</v>
      </c>
      <c r="M46" s="72" t="s">
        <v>981</v>
      </c>
      <c r="N46" s="2">
        <f>AVERAGE(62395)</f>
        <v>62395</v>
      </c>
      <c r="O46" s="2" t="s">
        <v>952</v>
      </c>
      <c r="P46" s="58" t="s">
        <v>16</v>
      </c>
      <c r="Q46" s="2" t="s">
        <v>16</v>
      </c>
      <c r="R46" s="41" t="s">
        <v>16</v>
      </c>
      <c r="S46" s="58" t="s">
        <v>16</v>
      </c>
      <c r="T46" s="2" t="s">
        <v>16</v>
      </c>
      <c r="U46" s="41" t="s">
        <v>16</v>
      </c>
    </row>
    <row r="47" spans="1:21" ht="12.6" customHeight="1">
      <c r="A47" s="66" t="s">
        <v>27</v>
      </c>
      <c r="B47" s="158" t="s">
        <v>292</v>
      </c>
      <c r="C47" s="2">
        <v>8</v>
      </c>
      <c r="D47" s="3">
        <v>2.8</v>
      </c>
      <c r="E47" s="2">
        <v>12.8</v>
      </c>
      <c r="F47" s="57" t="s">
        <v>156</v>
      </c>
      <c r="G47" s="68">
        <v>0.3</v>
      </c>
      <c r="H47" s="69">
        <v>1.1000000000000001</v>
      </c>
      <c r="I47" s="2">
        <v>128</v>
      </c>
      <c r="J47" s="2">
        <v>123</v>
      </c>
      <c r="K47" s="41" t="s">
        <v>143</v>
      </c>
      <c r="L47" s="58">
        <f>AVERAGE(1136,1677,1680,1893,1275,1849,1980,1146,1575)</f>
        <v>1579</v>
      </c>
      <c r="M47" s="41" t="s">
        <v>1072</v>
      </c>
      <c r="N47" s="2">
        <f>AVERAGE(2844,2600,2650,2894,3178,2119,2100,2299)</f>
        <v>2585.5</v>
      </c>
      <c r="O47" s="2" t="s">
        <v>981</v>
      </c>
      <c r="P47" s="58">
        <v>1670</v>
      </c>
      <c r="Q47" s="2" t="s">
        <v>816</v>
      </c>
      <c r="R47" s="41" t="s">
        <v>30</v>
      </c>
      <c r="S47" s="58">
        <v>3495</v>
      </c>
      <c r="T47" s="2" t="s">
        <v>831</v>
      </c>
      <c r="U47" s="41" t="s">
        <v>29</v>
      </c>
    </row>
    <row r="48" spans="1:21" ht="12.6" customHeight="1">
      <c r="A48" s="66" t="s">
        <v>27</v>
      </c>
      <c r="B48" s="158" t="s">
        <v>699</v>
      </c>
      <c r="C48" s="2">
        <v>13</v>
      </c>
      <c r="D48" s="3">
        <v>5.6</v>
      </c>
      <c r="E48" s="2">
        <v>12.8</v>
      </c>
      <c r="F48" s="57" t="s">
        <v>176</v>
      </c>
      <c r="G48" s="68">
        <v>0.3</v>
      </c>
      <c r="H48" s="69">
        <v>1.2</v>
      </c>
      <c r="I48" s="2">
        <v>88.5</v>
      </c>
      <c r="J48" s="2">
        <v>115</v>
      </c>
      <c r="K48" s="41" t="s">
        <v>161</v>
      </c>
      <c r="L48" s="58">
        <f>AVERAGE(15778,14675)</f>
        <v>15226.5</v>
      </c>
      <c r="M48" s="41" t="s">
        <v>870</v>
      </c>
      <c r="N48" s="2">
        <v>24995</v>
      </c>
      <c r="O48" s="41" t="s">
        <v>708</v>
      </c>
      <c r="P48" s="58" t="s">
        <v>16</v>
      </c>
      <c r="Q48" s="2" t="s">
        <v>16</v>
      </c>
      <c r="R48" s="41" t="s">
        <v>16</v>
      </c>
      <c r="S48" s="58" t="s">
        <v>16</v>
      </c>
      <c r="T48" s="2" t="s">
        <v>16</v>
      </c>
      <c r="U48" s="41" t="s">
        <v>16</v>
      </c>
    </row>
    <row r="49" spans="1:21" ht="12.6" customHeight="1">
      <c r="A49" s="66" t="s">
        <v>27</v>
      </c>
      <c r="B49" s="66" t="s">
        <v>155</v>
      </c>
      <c r="C49" s="2">
        <v>15</v>
      </c>
      <c r="D49" s="3">
        <v>3.5</v>
      </c>
      <c r="E49" s="2">
        <v>24</v>
      </c>
      <c r="F49" s="57" t="s">
        <v>156</v>
      </c>
      <c r="G49" s="68">
        <v>0.3</v>
      </c>
      <c r="H49" s="69">
        <v>0.63</v>
      </c>
      <c r="I49" s="2">
        <v>83.5</v>
      </c>
      <c r="J49" s="2">
        <v>90</v>
      </c>
      <c r="K49" s="41">
        <v>94</v>
      </c>
      <c r="L49" s="58">
        <f>AVERAGE(435,630,730,610,685,550,706,691)</f>
        <v>629.625</v>
      </c>
      <c r="M49" s="41" t="s">
        <v>1072</v>
      </c>
      <c r="N49" s="2">
        <f>AVERAGE(979,799,1060,900,1025,1100,1072,787,1000,1000,945)</f>
        <v>969.72727272727275</v>
      </c>
      <c r="O49" s="2" t="s">
        <v>1033</v>
      </c>
      <c r="P49" s="58">
        <v>950</v>
      </c>
      <c r="Q49" s="2" t="s">
        <v>1072</v>
      </c>
      <c r="R49" s="41" t="s">
        <v>32</v>
      </c>
      <c r="S49" s="58">
        <v>1400</v>
      </c>
      <c r="T49" s="2" t="s">
        <v>981</v>
      </c>
      <c r="U49" s="41" t="s">
        <v>32</v>
      </c>
    </row>
    <row r="50" spans="1:21" ht="12.6" customHeight="1">
      <c r="A50" s="66" t="s">
        <v>27</v>
      </c>
      <c r="B50" s="66" t="s">
        <v>157</v>
      </c>
      <c r="C50" s="2">
        <v>18</v>
      </c>
      <c r="D50" s="3">
        <v>3.5</v>
      </c>
      <c r="E50" s="2">
        <v>28.8</v>
      </c>
      <c r="F50" s="57" t="s">
        <v>156</v>
      </c>
      <c r="G50" s="68">
        <v>0.25</v>
      </c>
      <c r="H50" s="69">
        <v>0.35</v>
      </c>
      <c r="I50" s="2">
        <v>61.5</v>
      </c>
      <c r="J50" s="2">
        <v>75</v>
      </c>
      <c r="K50" s="41">
        <v>72</v>
      </c>
      <c r="L50" s="58">
        <f>AVERAGE(299,440,307,400,340,475,407,405,405,382)</f>
        <v>386</v>
      </c>
      <c r="M50" s="41" t="s">
        <v>1072</v>
      </c>
      <c r="N50" s="2">
        <f>AVERAGE(529,531,450,525,545,475,399,550,579,672)</f>
        <v>525.5</v>
      </c>
      <c r="O50" s="2" t="s">
        <v>952</v>
      </c>
      <c r="P50" s="58">
        <v>546</v>
      </c>
      <c r="Q50" s="2" t="s">
        <v>816</v>
      </c>
      <c r="R50" s="41" t="s">
        <v>30</v>
      </c>
      <c r="S50" s="58">
        <v>700</v>
      </c>
      <c r="T50" s="2" t="s">
        <v>631</v>
      </c>
      <c r="U50" s="41" t="s">
        <v>32</v>
      </c>
    </row>
    <row r="51" spans="1:21" ht="12.6" customHeight="1">
      <c r="A51" s="66" t="s">
        <v>27</v>
      </c>
      <c r="B51" s="66" t="s">
        <v>158</v>
      </c>
      <c r="C51" s="2">
        <v>20</v>
      </c>
      <c r="D51" s="3">
        <v>2.8</v>
      </c>
      <c r="E51" s="2">
        <v>32</v>
      </c>
      <c r="F51" s="57" t="s">
        <v>156</v>
      </c>
      <c r="G51" s="68">
        <v>0.25</v>
      </c>
      <c r="H51" s="69">
        <v>0.26</v>
      </c>
      <c r="I51" s="2">
        <v>42.5</v>
      </c>
      <c r="J51" s="2">
        <v>69</v>
      </c>
      <c r="K51" s="41">
        <v>62</v>
      </c>
      <c r="L51" s="58">
        <f>AVERAGE(320,206,300,260,257,285,270,320,348,299,305,312,262)</f>
        <v>288</v>
      </c>
      <c r="M51" s="41" t="s">
        <v>1072</v>
      </c>
      <c r="N51" s="2">
        <f>AVERAGE(368,399,380,405,386,360,400)</f>
        <v>385.42857142857144</v>
      </c>
      <c r="O51" s="2" t="s">
        <v>1045</v>
      </c>
      <c r="P51" s="58">
        <v>440</v>
      </c>
      <c r="Q51" s="2" t="s">
        <v>917</v>
      </c>
      <c r="R51" s="41" t="s">
        <v>33</v>
      </c>
      <c r="S51" s="58">
        <v>600</v>
      </c>
      <c r="T51" s="2" t="s">
        <v>917</v>
      </c>
      <c r="U51" s="41" t="s">
        <v>30</v>
      </c>
    </row>
    <row r="52" spans="1:21" ht="12.6" customHeight="1">
      <c r="A52" s="60" t="s">
        <v>27</v>
      </c>
      <c r="B52" s="60" t="s">
        <v>416</v>
      </c>
      <c r="C52" s="27">
        <v>20</v>
      </c>
      <c r="D52" s="64">
        <v>3.5</v>
      </c>
      <c r="E52" s="27">
        <v>32</v>
      </c>
      <c r="F52" s="62" t="s">
        <v>176</v>
      </c>
      <c r="G52" s="50">
        <v>0.3</v>
      </c>
      <c r="H52" s="31">
        <v>0.23499999999999999</v>
      </c>
      <c r="I52" s="27">
        <v>40.5</v>
      </c>
      <c r="J52" s="27">
        <v>63.5</v>
      </c>
      <c r="K52" s="43">
        <v>52</v>
      </c>
      <c r="L52" s="52">
        <f>AVERAGE(250,250,228,199,195,226,200,214,225)</f>
        <v>220.77777777777777</v>
      </c>
      <c r="M52" s="43" t="s">
        <v>1072</v>
      </c>
      <c r="N52" s="27">
        <f>AVERAGE(330,329,295,366,325,337,290,380,290)</f>
        <v>326.88888888888891</v>
      </c>
      <c r="O52" s="27" t="s">
        <v>1045</v>
      </c>
      <c r="P52" s="52">
        <v>320</v>
      </c>
      <c r="Q52" s="27" t="s">
        <v>1072</v>
      </c>
      <c r="R52" s="43" t="s">
        <v>30</v>
      </c>
      <c r="S52" s="52">
        <v>275</v>
      </c>
      <c r="T52" s="27" t="s">
        <v>981</v>
      </c>
      <c r="U52" s="43" t="s">
        <v>28</v>
      </c>
    </row>
    <row r="53" spans="1:21" ht="12.6" customHeight="1">
      <c r="A53" s="66" t="s">
        <v>27</v>
      </c>
      <c r="B53" s="158" t="s">
        <v>712</v>
      </c>
      <c r="C53" s="2">
        <v>28</v>
      </c>
      <c r="D53" s="3">
        <v>3.5</v>
      </c>
      <c r="E53" s="2">
        <v>44.8</v>
      </c>
      <c r="F53" s="57" t="s">
        <v>176</v>
      </c>
      <c r="G53" s="68">
        <v>0.3</v>
      </c>
      <c r="H53" s="69">
        <v>0.38</v>
      </c>
      <c r="I53" s="2">
        <v>69</v>
      </c>
      <c r="J53" s="2">
        <v>78</v>
      </c>
      <c r="K53" s="41">
        <v>72</v>
      </c>
      <c r="L53" s="2">
        <f>AVERAGE(245,253,300,280,295,210,209,361,325)</f>
        <v>275.33333333333331</v>
      </c>
      <c r="M53" s="41" t="s">
        <v>1072</v>
      </c>
      <c r="N53" s="2">
        <f>AVERAGE(410,425,380,384,400,439,500,400,480,480)</f>
        <v>429.8</v>
      </c>
      <c r="O53" s="2" t="s">
        <v>1045</v>
      </c>
      <c r="P53" s="58">
        <v>400</v>
      </c>
      <c r="Q53" s="2" t="s">
        <v>1072</v>
      </c>
      <c r="R53" s="41" t="s">
        <v>32</v>
      </c>
      <c r="S53" s="58">
        <v>475</v>
      </c>
      <c r="T53" s="2" t="s">
        <v>1045</v>
      </c>
      <c r="U53" s="41" t="s">
        <v>28</v>
      </c>
    </row>
    <row r="54" spans="1:21" ht="12.6" customHeight="1">
      <c r="A54" s="66" t="s">
        <v>27</v>
      </c>
      <c r="B54" s="158" t="s">
        <v>247</v>
      </c>
      <c r="C54" s="2">
        <v>28</v>
      </c>
      <c r="D54" s="3">
        <v>4</v>
      </c>
      <c r="E54" s="2">
        <v>44.8</v>
      </c>
      <c r="F54" s="57" t="s">
        <v>176</v>
      </c>
      <c r="G54" s="68">
        <v>0.3</v>
      </c>
      <c r="H54" s="69">
        <v>0.41</v>
      </c>
      <c r="I54" s="2" t="s">
        <v>16</v>
      </c>
      <c r="J54" s="2">
        <v>78</v>
      </c>
      <c r="K54" s="41">
        <v>72</v>
      </c>
      <c r="L54" s="2">
        <f>AVERAGE(339,260,300,366,255,342,325)</f>
        <v>312.42857142857144</v>
      </c>
      <c r="M54" s="41" t="s">
        <v>1045</v>
      </c>
      <c r="N54" s="2">
        <f>AVERAGE(498,549,657)</f>
        <v>568</v>
      </c>
      <c r="O54" s="2" t="s">
        <v>608</v>
      </c>
      <c r="P54" s="58">
        <v>367</v>
      </c>
      <c r="Q54" s="2" t="s">
        <v>917</v>
      </c>
      <c r="R54" s="41" t="s">
        <v>30</v>
      </c>
      <c r="S54" s="58">
        <v>800</v>
      </c>
      <c r="T54" s="2" t="s">
        <v>491</v>
      </c>
      <c r="U54" s="41" t="s">
        <v>32</v>
      </c>
    </row>
    <row r="55" spans="1:21" ht="12.6" customHeight="1">
      <c r="A55" s="66" t="s">
        <v>27</v>
      </c>
      <c r="B55" s="158" t="s">
        <v>174</v>
      </c>
      <c r="C55" s="2">
        <v>35</v>
      </c>
      <c r="D55" s="3">
        <v>1.4</v>
      </c>
      <c r="E55" s="2">
        <v>56</v>
      </c>
      <c r="F55" s="57" t="s">
        <v>156</v>
      </c>
      <c r="G55" s="68">
        <v>0.3</v>
      </c>
      <c r="H55" s="69">
        <v>0.41</v>
      </c>
      <c r="I55" s="2">
        <v>62</v>
      </c>
      <c r="J55" s="2">
        <v>67.5</v>
      </c>
      <c r="K55" s="41">
        <v>52</v>
      </c>
      <c r="L55" s="2">
        <f>AVERAGE(268,243,255,205,299,390,325)</f>
        <v>283.57142857142856</v>
      </c>
      <c r="M55" s="41" t="s">
        <v>1072</v>
      </c>
      <c r="N55" s="2">
        <f>AVERAGE(435,400,439,479,525,442,545,410,435)</f>
        <v>456.66666666666669</v>
      </c>
      <c r="O55" s="2" t="s">
        <v>1072</v>
      </c>
      <c r="P55" s="58">
        <v>475</v>
      </c>
      <c r="Q55" s="2" t="s">
        <v>1072</v>
      </c>
      <c r="R55" s="41" t="s">
        <v>32</v>
      </c>
      <c r="S55" s="58">
        <v>600</v>
      </c>
      <c r="T55" s="2" t="s">
        <v>981</v>
      </c>
      <c r="U55" s="41" t="s">
        <v>32</v>
      </c>
    </row>
    <row r="56" spans="1:21" ht="12.6" customHeight="1">
      <c r="A56" s="60" t="s">
        <v>27</v>
      </c>
      <c r="B56" s="60" t="s">
        <v>388</v>
      </c>
      <c r="C56" s="27">
        <v>35</v>
      </c>
      <c r="D56" s="64">
        <v>2.8</v>
      </c>
      <c r="E56" s="27">
        <v>56</v>
      </c>
      <c r="F56" s="62" t="s">
        <v>176</v>
      </c>
      <c r="G56" s="50">
        <v>0.3</v>
      </c>
      <c r="H56" s="31">
        <v>0.32</v>
      </c>
      <c r="I56" s="27">
        <v>66</v>
      </c>
      <c r="J56" s="27">
        <v>62</v>
      </c>
      <c r="K56" s="43">
        <v>52</v>
      </c>
      <c r="L56" s="27">
        <f>AVERAGE(196,259,215,241,285,279,213,200,218,224,256,228)</f>
        <v>234.5</v>
      </c>
      <c r="M56" s="27" t="s">
        <v>1045</v>
      </c>
      <c r="N56" s="52">
        <f>AVERAGE(450,384,448,302,470,428,460,499,456,454)</f>
        <v>435.1</v>
      </c>
      <c r="O56" s="27" t="s">
        <v>981</v>
      </c>
      <c r="P56" s="52">
        <v>350</v>
      </c>
      <c r="Q56" s="27" t="s">
        <v>1072</v>
      </c>
      <c r="R56" s="43" t="s">
        <v>32</v>
      </c>
      <c r="S56" s="52">
        <v>400</v>
      </c>
      <c r="T56" s="27" t="s">
        <v>1072</v>
      </c>
      <c r="U56" s="43" t="s">
        <v>32</v>
      </c>
    </row>
    <row r="57" spans="1:21" ht="12.6" customHeight="1">
      <c r="A57" s="66" t="s">
        <v>27</v>
      </c>
      <c r="B57" s="158" t="s">
        <v>278</v>
      </c>
      <c r="C57" s="2">
        <v>50</v>
      </c>
      <c r="D57" s="3">
        <v>1.2</v>
      </c>
      <c r="E57" s="2">
        <v>80</v>
      </c>
      <c r="F57" s="57" t="s">
        <v>156</v>
      </c>
      <c r="G57" s="68">
        <v>0.5</v>
      </c>
      <c r="H57" s="69">
        <v>0.41</v>
      </c>
      <c r="I57" s="2">
        <v>49.5</v>
      </c>
      <c r="J57" s="2">
        <v>72</v>
      </c>
      <c r="K57" s="41">
        <v>52</v>
      </c>
      <c r="L57" s="2">
        <f>AVERAGE(238,320,348,310,274,286,360,330,349,300,280)</f>
        <v>308.63636363636363</v>
      </c>
      <c r="M57" s="41" t="s">
        <v>1072</v>
      </c>
      <c r="N57" s="2">
        <f>AVERAGE(420,450,459,439,427,399,425,524,446)</f>
        <v>443.22222222222223</v>
      </c>
      <c r="O57" s="41" t="s">
        <v>1072</v>
      </c>
      <c r="P57" s="58">
        <v>460</v>
      </c>
      <c r="Q57" s="2" t="s">
        <v>1072</v>
      </c>
      <c r="R57" s="41" t="s">
        <v>32</v>
      </c>
      <c r="S57" s="58">
        <v>425</v>
      </c>
      <c r="T57" s="2" t="s">
        <v>1045</v>
      </c>
      <c r="U57" s="41" t="s">
        <v>29</v>
      </c>
    </row>
    <row r="58" spans="1:21" ht="12.6" customHeight="1">
      <c r="A58" s="60" t="s">
        <v>27</v>
      </c>
      <c r="B58" s="60" t="s">
        <v>560</v>
      </c>
      <c r="C58" s="27">
        <v>58</v>
      </c>
      <c r="D58" s="64">
        <v>1.2</v>
      </c>
      <c r="E58" s="27">
        <v>92.8</v>
      </c>
      <c r="F58" s="62" t="s">
        <v>176</v>
      </c>
      <c r="G58" s="50">
        <v>0.5</v>
      </c>
      <c r="H58" s="31">
        <v>0.46500000000000002</v>
      </c>
      <c r="I58" s="27">
        <v>51.5</v>
      </c>
      <c r="J58" s="27">
        <v>74</v>
      </c>
      <c r="K58" s="43">
        <v>52</v>
      </c>
      <c r="L58" s="27">
        <f>AVERAGE(2599,2740,2600,2499,2850,2550,2850,2891)</f>
        <v>2697.375</v>
      </c>
      <c r="M58" s="27" t="s">
        <v>1072</v>
      </c>
      <c r="N58" s="52">
        <f>AVERAGE(3199,3495,3199,3549,3500,3037,3395,3150,3050)</f>
        <v>3286</v>
      </c>
      <c r="O58" s="27" t="s">
        <v>1072</v>
      </c>
      <c r="P58" s="52">
        <v>3000</v>
      </c>
      <c r="Q58" s="27" t="s">
        <v>772</v>
      </c>
      <c r="R58" s="43" t="s">
        <v>33</v>
      </c>
      <c r="S58" s="52" t="s">
        <v>16</v>
      </c>
      <c r="T58" s="27" t="s">
        <v>16</v>
      </c>
      <c r="U58" s="43" t="s">
        <v>16</v>
      </c>
    </row>
    <row r="59" spans="1:21" ht="12.6" customHeight="1">
      <c r="A59" s="66" t="s">
        <v>27</v>
      </c>
      <c r="B59" s="66" t="s">
        <v>159</v>
      </c>
      <c r="C59" s="2">
        <v>85</v>
      </c>
      <c r="D59" s="3">
        <v>1.4</v>
      </c>
      <c r="E59" s="2">
        <v>136</v>
      </c>
      <c r="F59" s="57" t="s">
        <v>156</v>
      </c>
      <c r="G59" s="68">
        <v>0.85</v>
      </c>
      <c r="H59" s="69">
        <v>0.62</v>
      </c>
      <c r="I59" s="2">
        <v>64.5</v>
      </c>
      <c r="J59" s="2">
        <v>80.5</v>
      </c>
      <c r="K59" s="41">
        <v>72</v>
      </c>
      <c r="L59" s="2">
        <f>AVERAGE(314,490,440,470,498,440,460,471,480)</f>
        <v>451.44444444444446</v>
      </c>
      <c r="M59" s="16" t="s">
        <v>1072</v>
      </c>
      <c r="N59" s="71">
        <f>AVERAGE(550,530,568,588,600,614,550)</f>
        <v>571.42857142857144</v>
      </c>
      <c r="O59" s="159" t="s">
        <v>1072</v>
      </c>
      <c r="P59" s="58">
        <v>600</v>
      </c>
      <c r="Q59" s="2" t="s">
        <v>1072</v>
      </c>
      <c r="R59" s="41" t="s">
        <v>32</v>
      </c>
      <c r="S59" s="58">
        <v>950</v>
      </c>
      <c r="T59" s="2" t="s">
        <v>917</v>
      </c>
      <c r="U59" s="41" t="s">
        <v>418</v>
      </c>
    </row>
    <row r="60" spans="1:21" ht="12.6" customHeight="1">
      <c r="A60" s="66" t="s">
        <v>27</v>
      </c>
      <c r="B60" s="66" t="s">
        <v>160</v>
      </c>
      <c r="C60" s="2">
        <v>105</v>
      </c>
      <c r="D60" s="3">
        <v>1.8</v>
      </c>
      <c r="E60" s="2">
        <v>168</v>
      </c>
      <c r="F60" s="57" t="s">
        <v>156</v>
      </c>
      <c r="G60" s="68">
        <v>1</v>
      </c>
      <c r="H60" s="69">
        <v>0.57999999999999996</v>
      </c>
      <c r="I60" s="2">
        <v>80.5</v>
      </c>
      <c r="J60" s="2">
        <v>78.5</v>
      </c>
      <c r="K60" s="41">
        <v>62</v>
      </c>
      <c r="L60" s="2">
        <f>AVERAGE(300,294,299,285,299,318,383,271,306)</f>
        <v>306.11111111111109</v>
      </c>
      <c r="M60" s="2" t="s">
        <v>1072</v>
      </c>
      <c r="N60" s="58">
        <f>AVERAGE(458,474,483,404,535,626,519,486)</f>
        <v>498.125</v>
      </c>
      <c r="O60" s="41" t="s">
        <v>1072</v>
      </c>
      <c r="P60" s="58">
        <v>500</v>
      </c>
      <c r="Q60" s="2" t="s">
        <v>981</v>
      </c>
      <c r="R60" s="41" t="s">
        <v>32</v>
      </c>
      <c r="S60" s="58">
        <v>795</v>
      </c>
      <c r="T60" s="2" t="s">
        <v>584</v>
      </c>
      <c r="U60" s="41" t="s">
        <v>29</v>
      </c>
    </row>
    <row r="61" spans="1:21" ht="12.6" customHeight="1">
      <c r="A61" s="66" t="s">
        <v>27</v>
      </c>
      <c r="B61" s="66" t="s">
        <v>538</v>
      </c>
      <c r="C61" s="2">
        <v>105</v>
      </c>
      <c r="D61" s="3">
        <v>2.5</v>
      </c>
      <c r="E61" s="2">
        <f>1.6*C61</f>
        <v>168</v>
      </c>
      <c r="F61" s="57" t="s">
        <v>291</v>
      </c>
      <c r="G61" s="68">
        <v>1</v>
      </c>
      <c r="H61" s="69">
        <v>0.435</v>
      </c>
      <c r="I61" s="2">
        <v>66</v>
      </c>
      <c r="J61" s="2">
        <v>68.5</v>
      </c>
      <c r="K61" s="41">
        <v>52</v>
      </c>
      <c r="L61" s="2">
        <f>AVERAGE(104,114,128,104,130,128,135,108,148,125,125)</f>
        <v>122.63636363636364</v>
      </c>
      <c r="M61" s="2" t="s">
        <v>1072</v>
      </c>
      <c r="N61" s="58">
        <f>AVERAGE(185,165,169,225,229,159,159,198,163,198)</f>
        <v>185</v>
      </c>
      <c r="O61" s="41" t="s">
        <v>1072</v>
      </c>
      <c r="P61" s="58">
        <v>130</v>
      </c>
      <c r="Q61" s="2" t="s">
        <v>917</v>
      </c>
      <c r="R61" s="41" t="s">
        <v>32</v>
      </c>
      <c r="S61" s="58">
        <v>265</v>
      </c>
      <c r="T61" s="2" t="s">
        <v>816</v>
      </c>
      <c r="U61" s="41" t="s">
        <v>30</v>
      </c>
    </row>
    <row r="62" spans="1:21" ht="12.6" customHeight="1">
      <c r="A62" s="66" t="s">
        <v>27</v>
      </c>
      <c r="B62" s="66" t="s">
        <v>539</v>
      </c>
      <c r="C62" s="2">
        <v>105</v>
      </c>
      <c r="D62" s="3">
        <v>2.5</v>
      </c>
      <c r="E62" s="2">
        <f>1.6*C62</f>
        <v>168</v>
      </c>
      <c r="F62" s="57" t="s">
        <v>176</v>
      </c>
      <c r="G62" s="68">
        <v>1</v>
      </c>
      <c r="H62" s="69">
        <v>0.435</v>
      </c>
      <c r="I62" s="2">
        <v>68.5</v>
      </c>
      <c r="J62" s="2">
        <v>66</v>
      </c>
      <c r="K62" s="41">
        <v>52</v>
      </c>
      <c r="L62" s="58">
        <f>AVERAGE(120,110,135,107,115,133,131,125,129,149,125)</f>
        <v>125.36363636363636</v>
      </c>
      <c r="M62" s="41" t="s">
        <v>1072</v>
      </c>
      <c r="N62" s="2">
        <f>AVERAGE(170,190,179,159,195,175,203,200,215,192,189)</f>
        <v>187.90909090909091</v>
      </c>
      <c r="O62" s="3" t="s">
        <v>1072</v>
      </c>
      <c r="P62" s="58">
        <v>170</v>
      </c>
      <c r="Q62" s="3" t="s">
        <v>1072</v>
      </c>
      <c r="R62" s="41" t="s">
        <v>32</v>
      </c>
      <c r="S62" s="58">
        <v>150</v>
      </c>
      <c r="T62" s="3" t="s">
        <v>981</v>
      </c>
      <c r="U62" s="41" t="s">
        <v>28</v>
      </c>
    </row>
    <row r="63" spans="1:21" ht="12.6" customHeight="1">
      <c r="A63" s="60" t="s">
        <v>27</v>
      </c>
      <c r="B63" s="60" t="s">
        <v>224</v>
      </c>
      <c r="C63" s="27">
        <v>135</v>
      </c>
      <c r="D63" s="64">
        <v>2</v>
      </c>
      <c r="E63" s="27">
        <v>216</v>
      </c>
      <c r="F63" s="62" t="s">
        <v>156</v>
      </c>
      <c r="G63" s="50">
        <v>1.3</v>
      </c>
      <c r="H63" s="31">
        <v>0.86</v>
      </c>
      <c r="I63" s="27">
        <v>93.5</v>
      </c>
      <c r="J63" s="27">
        <v>80.5</v>
      </c>
      <c r="K63" s="43">
        <v>72</v>
      </c>
      <c r="L63" s="27">
        <f>AVERAGE(320,476,350,400,350,406,432,449)</f>
        <v>397.875</v>
      </c>
      <c r="M63" s="61" t="s">
        <v>1045</v>
      </c>
      <c r="N63" s="52">
        <f>AVERAGE(507,530,639,499,620,629,530,590,490)</f>
        <v>559.33333333333337</v>
      </c>
      <c r="O63" s="43" t="s">
        <v>1072</v>
      </c>
      <c r="P63" s="52">
        <v>650</v>
      </c>
      <c r="Q63" s="27" t="s">
        <v>1072</v>
      </c>
      <c r="R63" s="43" t="s">
        <v>32</v>
      </c>
      <c r="S63" s="52">
        <v>750</v>
      </c>
      <c r="T63" s="27" t="s">
        <v>579</v>
      </c>
      <c r="U63" s="43" t="s">
        <v>33</v>
      </c>
    </row>
    <row r="64" spans="1:21" ht="12.6" customHeight="1">
      <c r="A64" s="66" t="s">
        <v>27</v>
      </c>
      <c r="B64" s="66" t="s">
        <v>177</v>
      </c>
      <c r="C64" s="2">
        <v>200</v>
      </c>
      <c r="D64" s="3">
        <v>2</v>
      </c>
      <c r="E64" s="2">
        <v>320</v>
      </c>
      <c r="F64" s="57" t="s">
        <v>156</v>
      </c>
      <c r="G64" s="68">
        <v>2.4</v>
      </c>
      <c r="H64" s="69">
        <v>2.4</v>
      </c>
      <c r="I64" s="2">
        <v>222</v>
      </c>
      <c r="J64" s="2">
        <v>138</v>
      </c>
      <c r="K64" s="41">
        <v>122</v>
      </c>
      <c r="L64" s="2">
        <f>AVERAGE(1199,1249,1180,1600,1355,1376,1149)</f>
        <v>1301.1428571428571</v>
      </c>
      <c r="M64" s="2" t="s">
        <v>1072</v>
      </c>
      <c r="N64" s="58">
        <f>AVERAGE(2000,1625,2300,1935)</f>
        <v>1965</v>
      </c>
      <c r="O64" s="2" t="s">
        <v>973</v>
      </c>
      <c r="P64" s="58">
        <v>2150</v>
      </c>
      <c r="Q64" s="2" t="s">
        <v>878</v>
      </c>
      <c r="R64" s="41" t="s">
        <v>33</v>
      </c>
      <c r="S64" s="58">
        <v>2500</v>
      </c>
      <c r="T64" s="2" t="s">
        <v>513</v>
      </c>
      <c r="U64" s="41" t="s">
        <v>514</v>
      </c>
    </row>
    <row r="65" spans="1:21" ht="12.6" customHeight="1">
      <c r="A65" s="66" t="s">
        <v>27</v>
      </c>
      <c r="B65" s="66" t="s">
        <v>479</v>
      </c>
      <c r="C65" s="2">
        <v>300</v>
      </c>
      <c r="D65" s="3">
        <v>2</v>
      </c>
      <c r="E65" s="2">
        <v>480</v>
      </c>
      <c r="F65" s="57" t="s">
        <v>156</v>
      </c>
      <c r="G65" s="68" t="s">
        <v>142</v>
      </c>
      <c r="H65" s="69">
        <v>7.1</v>
      </c>
      <c r="I65" s="2">
        <v>331</v>
      </c>
      <c r="J65" s="2">
        <v>183</v>
      </c>
      <c r="K65" s="41" t="s">
        <v>45</v>
      </c>
      <c r="L65" s="58">
        <f>AVERAGE(6658)</f>
        <v>6658</v>
      </c>
      <c r="M65" s="2" t="s">
        <v>981</v>
      </c>
      <c r="N65" s="58">
        <f>AVERAGE(0)</f>
        <v>0</v>
      </c>
      <c r="O65" s="2" t="s">
        <v>16</v>
      </c>
      <c r="P65" s="58" t="s">
        <v>16</v>
      </c>
      <c r="Q65" s="2" t="s">
        <v>16</v>
      </c>
      <c r="R65" s="41" t="s">
        <v>16</v>
      </c>
      <c r="S65" s="58" t="s">
        <v>16</v>
      </c>
      <c r="T65" s="2" t="s">
        <v>16</v>
      </c>
      <c r="U65" s="41" t="s">
        <v>16</v>
      </c>
    </row>
    <row r="66" spans="1:21" ht="12.6" customHeight="1">
      <c r="A66" s="60" t="s">
        <v>27</v>
      </c>
      <c r="B66" s="60" t="s">
        <v>480</v>
      </c>
      <c r="C66" s="27">
        <v>300</v>
      </c>
      <c r="D66" s="64">
        <v>2.8</v>
      </c>
      <c r="E66" s="27">
        <v>480</v>
      </c>
      <c r="F66" s="62" t="s">
        <v>156</v>
      </c>
      <c r="G66" s="50">
        <v>3</v>
      </c>
      <c r="H66" s="31">
        <v>2.5</v>
      </c>
      <c r="I66" s="27">
        <v>241</v>
      </c>
      <c r="J66" s="27">
        <v>138</v>
      </c>
      <c r="K66" s="43" t="s">
        <v>274</v>
      </c>
      <c r="L66" s="27">
        <f>AVERAGE(681,819,800,800,815,1198,761,900)</f>
        <v>846.75</v>
      </c>
      <c r="M66" s="27" t="s">
        <v>1072</v>
      </c>
      <c r="N66" s="52">
        <f>AVERAGE(1345,1380,1599,1150,1500,1615,1531,1563)</f>
        <v>1460.375</v>
      </c>
      <c r="O66" s="27" t="s">
        <v>1047</v>
      </c>
      <c r="P66" s="52">
        <v>950</v>
      </c>
      <c r="Q66" s="27" t="s">
        <v>816</v>
      </c>
      <c r="R66" s="43" t="s">
        <v>32</v>
      </c>
      <c r="S66" s="52">
        <v>1375</v>
      </c>
      <c r="T66" s="27" t="s">
        <v>686</v>
      </c>
      <c r="U66" s="43" t="s">
        <v>29</v>
      </c>
    </row>
    <row r="67" spans="1:21" ht="12.6" customHeight="1">
      <c r="A67" s="66" t="s">
        <v>27</v>
      </c>
      <c r="B67" s="66" t="s">
        <v>481</v>
      </c>
      <c r="C67" s="2">
        <v>400</v>
      </c>
      <c r="D67" s="3">
        <v>2.8</v>
      </c>
      <c r="E67" s="2">
        <v>640</v>
      </c>
      <c r="F67" s="57" t="s">
        <v>156</v>
      </c>
      <c r="G67" s="68">
        <v>4.5999999999999996</v>
      </c>
      <c r="H67" s="69">
        <v>5.15</v>
      </c>
      <c r="I67" s="2">
        <v>378.5</v>
      </c>
      <c r="J67" s="2">
        <v>163</v>
      </c>
      <c r="K67" s="41" t="s">
        <v>45</v>
      </c>
      <c r="L67" s="71">
        <f>AVERAGE(1999,1999,1825,1935,2000,2050,1388,1800)</f>
        <v>1874.5</v>
      </c>
      <c r="M67" s="72" t="s">
        <v>1072</v>
      </c>
      <c r="N67" s="2">
        <f>AVERAGE(2195,2334,2549,2551,2550,2400,2650,2499)</f>
        <v>2466</v>
      </c>
      <c r="O67" s="16" t="s">
        <v>1047</v>
      </c>
      <c r="P67" s="58">
        <v>3100</v>
      </c>
      <c r="Q67" s="2" t="s">
        <v>981</v>
      </c>
      <c r="R67" s="41" t="s">
        <v>32</v>
      </c>
      <c r="S67" s="58" t="s">
        <v>16</v>
      </c>
      <c r="T67" s="2" t="s">
        <v>16</v>
      </c>
      <c r="U67" s="41" t="s">
        <v>16</v>
      </c>
    </row>
    <row r="68" spans="1:21" ht="12.6" customHeight="1">
      <c r="A68" s="66" t="s">
        <v>27</v>
      </c>
      <c r="B68" s="66" t="s">
        <v>478</v>
      </c>
      <c r="C68" s="2">
        <v>400</v>
      </c>
      <c r="D68" s="3">
        <v>3.5</v>
      </c>
      <c r="E68" s="2">
        <v>640</v>
      </c>
      <c r="F68" s="57" t="s">
        <v>156</v>
      </c>
      <c r="G68" s="68">
        <v>4.5999999999999996</v>
      </c>
      <c r="H68" s="69">
        <v>2.8</v>
      </c>
      <c r="I68" s="2">
        <v>297.2</v>
      </c>
      <c r="J68" s="2">
        <v>134.6</v>
      </c>
      <c r="K68" s="41" t="s">
        <v>435</v>
      </c>
      <c r="L68" s="58">
        <f>AVERAGE(998,1295,1148,1098,1364,1000,1000,995,899)</f>
        <v>1088.5555555555557</v>
      </c>
      <c r="M68" s="41" t="s">
        <v>1072</v>
      </c>
      <c r="N68" s="2">
        <f>AVERAGE(2164,1525,1400,1400,1800,1480,1675,1568,1678)</f>
        <v>1632.2222222222222</v>
      </c>
      <c r="O68" s="2" t="s">
        <v>1072</v>
      </c>
      <c r="P68" s="58">
        <v>1000</v>
      </c>
      <c r="Q68" s="2" t="s">
        <v>1072</v>
      </c>
      <c r="R68" s="41" t="s">
        <v>32</v>
      </c>
      <c r="S68" s="58" t="s">
        <v>16</v>
      </c>
      <c r="T68" s="2" t="s">
        <v>16</v>
      </c>
      <c r="U68" s="41" t="s">
        <v>16</v>
      </c>
    </row>
    <row r="69" spans="1:21" ht="12.6" customHeight="1">
      <c r="A69" s="66" t="s">
        <v>27</v>
      </c>
      <c r="B69" s="66" t="s">
        <v>474</v>
      </c>
      <c r="C69" s="2">
        <v>500</v>
      </c>
      <c r="D69" s="3">
        <v>4</v>
      </c>
      <c r="E69" s="2">
        <v>800</v>
      </c>
      <c r="F69" s="57" t="s">
        <v>156</v>
      </c>
      <c r="G69" s="68">
        <v>5</v>
      </c>
      <c r="H69" s="69">
        <v>3</v>
      </c>
      <c r="I69" s="2">
        <v>384</v>
      </c>
      <c r="J69" s="2">
        <v>138</v>
      </c>
      <c r="K69" s="41" t="s">
        <v>274</v>
      </c>
      <c r="L69" s="58">
        <f>AVERAGE(1600,1770,1999,1898,1950,1998,1835,1650)</f>
        <v>1837.5</v>
      </c>
      <c r="M69" s="160" t="s">
        <v>1072</v>
      </c>
      <c r="N69" s="2">
        <f>AVERAGE(2210,1900,2450,2275,2450,2250,2500,2325)</f>
        <v>2295</v>
      </c>
      <c r="O69" s="16" t="s">
        <v>1072</v>
      </c>
      <c r="P69" s="58">
        <v>1800</v>
      </c>
      <c r="Q69" s="2" t="s">
        <v>1072</v>
      </c>
      <c r="R69" s="41" t="s">
        <v>32</v>
      </c>
      <c r="S69" s="58">
        <v>2000</v>
      </c>
      <c r="T69" s="2" t="s">
        <v>1072</v>
      </c>
      <c r="U69" s="41" t="s">
        <v>32</v>
      </c>
    </row>
    <row r="70" spans="1:21" ht="12.6" customHeight="1">
      <c r="A70" s="66" t="s">
        <v>27</v>
      </c>
      <c r="B70" s="66" t="s">
        <v>476</v>
      </c>
      <c r="C70" s="2">
        <v>600</v>
      </c>
      <c r="D70" s="3">
        <v>4</v>
      </c>
      <c r="E70" s="2">
        <v>960</v>
      </c>
      <c r="F70" s="57" t="s">
        <v>156</v>
      </c>
      <c r="G70" s="68">
        <v>7.6</v>
      </c>
      <c r="H70" s="69">
        <v>5.65</v>
      </c>
      <c r="I70" s="2">
        <v>464.8</v>
      </c>
      <c r="J70" s="2">
        <v>172.7</v>
      </c>
      <c r="K70" s="41" t="s">
        <v>274</v>
      </c>
      <c r="L70" s="58">
        <f>AVERAGE(1588,2395,2275,2298,2429,2275,2478,2000)</f>
        <v>2217.25</v>
      </c>
      <c r="M70" s="41" t="s">
        <v>1072</v>
      </c>
      <c r="N70" s="2">
        <f>AVERAGE(2780,2740,2800,2625)</f>
        <v>2736.25</v>
      </c>
      <c r="O70" s="2" t="s">
        <v>973</v>
      </c>
      <c r="P70" s="58">
        <v>3000</v>
      </c>
      <c r="Q70" s="2" t="s">
        <v>1072</v>
      </c>
      <c r="R70" s="41" t="s">
        <v>32</v>
      </c>
      <c r="S70" s="58" t="s">
        <v>16</v>
      </c>
      <c r="T70" s="2" t="s">
        <v>16</v>
      </c>
      <c r="U70" s="41" t="s">
        <v>16</v>
      </c>
    </row>
    <row r="71" spans="1:21" ht="12.6" customHeight="1">
      <c r="A71" s="66" t="s">
        <v>27</v>
      </c>
      <c r="B71" s="66" t="s">
        <v>475</v>
      </c>
      <c r="C71" s="2">
        <v>600</v>
      </c>
      <c r="D71" s="3">
        <v>5.6</v>
      </c>
      <c r="E71" s="2">
        <v>960</v>
      </c>
      <c r="F71" s="57" t="s">
        <v>156</v>
      </c>
      <c r="G71" s="68">
        <v>6.1</v>
      </c>
      <c r="H71" s="69">
        <v>2.7</v>
      </c>
      <c r="I71" s="2">
        <v>382</v>
      </c>
      <c r="J71" s="2">
        <v>134</v>
      </c>
      <c r="K71" s="41" t="s">
        <v>274</v>
      </c>
      <c r="L71" s="58">
        <f>AVERAGE(996,905,1490,1600,1650,1459,1026)</f>
        <v>1303.7142857142858</v>
      </c>
      <c r="M71" s="41" t="s">
        <v>1072</v>
      </c>
      <c r="N71" s="2">
        <f>AVERAGE(2198,1500,2100,1880,2222,2450,1815,2250,2379,2349)</f>
        <v>2114.3000000000002</v>
      </c>
      <c r="O71" s="2" t="s">
        <v>973</v>
      </c>
      <c r="P71" s="58">
        <v>1602</v>
      </c>
      <c r="Q71" s="2" t="s">
        <v>917</v>
      </c>
      <c r="R71" s="41" t="s">
        <v>30</v>
      </c>
      <c r="S71" s="58" t="s">
        <v>16</v>
      </c>
      <c r="T71" s="2" t="s">
        <v>16</v>
      </c>
      <c r="U71" s="41" t="s">
        <v>16</v>
      </c>
    </row>
    <row r="72" spans="1:21" ht="12.6" customHeight="1">
      <c r="A72" s="60" t="s">
        <v>27</v>
      </c>
      <c r="B72" s="60" t="s">
        <v>477</v>
      </c>
      <c r="C72" s="27">
        <v>800</v>
      </c>
      <c r="D72" s="64">
        <v>5.6</v>
      </c>
      <c r="E72" s="27">
        <v>1280</v>
      </c>
      <c r="F72" s="62" t="s">
        <v>156</v>
      </c>
      <c r="G72" s="50">
        <v>8</v>
      </c>
      <c r="H72" s="31">
        <v>5.45</v>
      </c>
      <c r="I72" s="27">
        <v>546</v>
      </c>
      <c r="J72" s="27">
        <v>163</v>
      </c>
      <c r="K72" s="43" t="s">
        <v>45</v>
      </c>
      <c r="L72" s="52">
        <f>AVERAGE(2926,3098,3248,2999,2325,2799,2372,2895,2908,2910)</f>
        <v>2848</v>
      </c>
      <c r="M72" s="43" t="s">
        <v>1072</v>
      </c>
      <c r="N72" s="27">
        <f>AVERAGE(2999,3200,3400,3999)</f>
        <v>3399.5</v>
      </c>
      <c r="O72" s="27" t="s">
        <v>1072</v>
      </c>
      <c r="P72" s="52">
        <v>3650</v>
      </c>
      <c r="Q72" s="27" t="s">
        <v>772</v>
      </c>
      <c r="R72" s="43" t="s">
        <v>32</v>
      </c>
      <c r="S72" s="52">
        <v>4560</v>
      </c>
      <c r="T72" s="27" t="s">
        <v>686</v>
      </c>
      <c r="U72" s="43" t="s">
        <v>30</v>
      </c>
    </row>
    <row r="73" spans="1:21" ht="12.6" customHeight="1">
      <c r="A73" s="66" t="s">
        <v>27</v>
      </c>
      <c r="B73" s="66" t="s">
        <v>630</v>
      </c>
      <c r="C73" s="2" t="s">
        <v>313</v>
      </c>
      <c r="D73" s="3">
        <v>2.8</v>
      </c>
      <c r="E73" s="2" t="s">
        <v>314</v>
      </c>
      <c r="F73" s="57" t="s">
        <v>315</v>
      </c>
      <c r="G73" s="68">
        <v>0.28000000000000003</v>
      </c>
      <c r="H73" s="69">
        <v>1</v>
      </c>
      <c r="I73" s="2">
        <v>131</v>
      </c>
      <c r="J73" s="2">
        <v>98</v>
      </c>
      <c r="K73" s="41" t="s">
        <v>31</v>
      </c>
      <c r="L73" s="2">
        <f>AVERAGE(1102,1111,1200,1016,1200,1080,1075)</f>
        <v>1112</v>
      </c>
      <c r="M73" s="41" t="s">
        <v>1072</v>
      </c>
      <c r="N73" s="2">
        <f>AVERAGE(1375,1391,1400,1325,1599,1309,1401,1500,1450,1525)</f>
        <v>1427.5</v>
      </c>
      <c r="O73" s="2" t="s">
        <v>1072</v>
      </c>
      <c r="P73" s="58">
        <v>1672</v>
      </c>
      <c r="Q73" s="2" t="s">
        <v>917</v>
      </c>
      <c r="R73" s="41" t="s">
        <v>30</v>
      </c>
      <c r="S73" s="58">
        <v>1740</v>
      </c>
      <c r="T73" s="2" t="s">
        <v>816</v>
      </c>
      <c r="U73" s="41" t="s">
        <v>30</v>
      </c>
    </row>
    <row r="74" spans="1:21" ht="12.6" customHeight="1">
      <c r="A74" s="66" t="s">
        <v>27</v>
      </c>
      <c r="B74" s="66" t="s">
        <v>215</v>
      </c>
      <c r="C74" s="2" t="s">
        <v>129</v>
      </c>
      <c r="D74" s="3">
        <v>4</v>
      </c>
      <c r="E74" s="2" t="s">
        <v>216</v>
      </c>
      <c r="F74" s="57" t="s">
        <v>156</v>
      </c>
      <c r="G74" s="68">
        <v>3.65</v>
      </c>
      <c r="H74" s="69">
        <v>4</v>
      </c>
      <c r="I74" s="2">
        <v>330</v>
      </c>
      <c r="J74" s="2">
        <v>144</v>
      </c>
      <c r="K74" s="41">
        <v>122</v>
      </c>
      <c r="L74" s="58">
        <f>AVERAGE(1400,2600,2500)</f>
        <v>2166.6666666666665</v>
      </c>
      <c r="M74" s="41" t="s">
        <v>927</v>
      </c>
      <c r="N74" s="2">
        <f>AVERAGE(2488,3899,3900,4497,2656,3000,3050)</f>
        <v>3355.7142857142858</v>
      </c>
      <c r="O74" s="2" t="s">
        <v>923</v>
      </c>
      <c r="P74" s="58" t="s">
        <v>16</v>
      </c>
      <c r="Q74" s="2" t="s">
        <v>16</v>
      </c>
      <c r="R74" s="41" t="s">
        <v>16</v>
      </c>
      <c r="S74" s="58" t="s">
        <v>16</v>
      </c>
      <c r="T74" s="2" t="s">
        <v>16</v>
      </c>
      <c r="U74" s="41" t="s">
        <v>16</v>
      </c>
    </row>
    <row r="75" spans="1:21" ht="12.6" customHeight="1">
      <c r="A75" s="60" t="s">
        <v>27</v>
      </c>
      <c r="B75" s="60" t="s">
        <v>1051</v>
      </c>
      <c r="C75" s="27" t="s">
        <v>907</v>
      </c>
      <c r="D75" s="64" t="s">
        <v>908</v>
      </c>
      <c r="E75" s="27" t="s">
        <v>16</v>
      </c>
      <c r="F75" s="62" t="s">
        <v>156</v>
      </c>
      <c r="G75" s="50">
        <v>10</v>
      </c>
      <c r="H75" s="31">
        <v>16</v>
      </c>
      <c r="I75" s="27">
        <v>880</v>
      </c>
      <c r="J75" s="27">
        <v>237</v>
      </c>
      <c r="K75" s="43" t="s">
        <v>45</v>
      </c>
      <c r="L75" s="52">
        <v>0</v>
      </c>
      <c r="M75" s="43" t="s">
        <v>16</v>
      </c>
      <c r="N75" s="27">
        <v>0</v>
      </c>
      <c r="O75" s="27" t="s">
        <v>16</v>
      </c>
      <c r="P75" s="52" t="s">
        <v>16</v>
      </c>
      <c r="Q75" s="27" t="s">
        <v>16</v>
      </c>
      <c r="R75" s="43" t="s">
        <v>16</v>
      </c>
      <c r="S75" s="52" t="s">
        <v>16</v>
      </c>
      <c r="T75" s="27" t="s">
        <v>16</v>
      </c>
      <c r="U75" s="43" t="s">
        <v>16</v>
      </c>
    </row>
    <row r="76" spans="1:21" s="17" customFormat="1" ht="12.6" customHeight="1">
      <c r="A76" s="97" t="s">
        <v>412</v>
      </c>
      <c r="B76" s="98"/>
      <c r="C76" s="34"/>
      <c r="D76" s="99"/>
      <c r="E76" s="34"/>
      <c r="F76" s="100" t="s">
        <v>16</v>
      </c>
      <c r="G76" s="101" t="s">
        <v>16</v>
      </c>
      <c r="H76" s="102" t="s">
        <v>16</v>
      </c>
      <c r="I76" s="34" t="s">
        <v>16</v>
      </c>
      <c r="J76" s="34" t="s">
        <v>16</v>
      </c>
      <c r="K76" s="34" t="s">
        <v>16</v>
      </c>
      <c r="L76" s="34" t="s">
        <v>16</v>
      </c>
      <c r="M76" s="34" t="s">
        <v>16</v>
      </c>
      <c r="N76" s="34" t="s">
        <v>16</v>
      </c>
      <c r="O76" s="34" t="s">
        <v>16</v>
      </c>
      <c r="P76" s="34" t="s">
        <v>16</v>
      </c>
      <c r="Q76" s="34" t="s">
        <v>16</v>
      </c>
      <c r="R76" s="34" t="s">
        <v>16</v>
      </c>
      <c r="S76" s="34" t="s">
        <v>16</v>
      </c>
      <c r="T76" s="34" t="s">
        <v>16</v>
      </c>
      <c r="U76" s="34" t="s">
        <v>16</v>
      </c>
    </row>
    <row r="77" spans="1:21" ht="12.6" customHeight="1">
      <c r="A77" s="66" t="s">
        <v>225</v>
      </c>
      <c r="B77" s="66" t="s">
        <v>807</v>
      </c>
      <c r="C77" s="2">
        <v>18</v>
      </c>
      <c r="D77" s="3">
        <v>3.5</v>
      </c>
      <c r="E77" s="2">
        <v>28.8</v>
      </c>
      <c r="F77" s="57" t="s">
        <v>226</v>
      </c>
      <c r="G77" s="68">
        <v>0.25</v>
      </c>
      <c r="H77" s="69">
        <v>0.25</v>
      </c>
      <c r="I77" s="2">
        <v>42</v>
      </c>
      <c r="J77" s="2">
        <v>62</v>
      </c>
      <c r="K77" s="41" t="s">
        <v>682</v>
      </c>
      <c r="L77" s="11">
        <f>AVERAGE(639,722,609,649,650,700,680,700)</f>
        <v>668.625</v>
      </c>
      <c r="M77" s="11" t="s">
        <v>1045</v>
      </c>
      <c r="N77" s="71">
        <f>AVERAGE(820,899,890,979,1006,879,995)</f>
        <v>924</v>
      </c>
      <c r="O77" s="2" t="s">
        <v>1072</v>
      </c>
      <c r="P77" s="58">
        <v>700</v>
      </c>
      <c r="Q77" s="3" t="s">
        <v>1072</v>
      </c>
      <c r="R77" s="41" t="s">
        <v>30</v>
      </c>
      <c r="S77" s="58">
        <v>1300</v>
      </c>
      <c r="T77" s="2" t="s">
        <v>917</v>
      </c>
      <c r="U77" s="41" t="s">
        <v>514</v>
      </c>
    </row>
    <row r="78" spans="1:21" ht="12.6" customHeight="1">
      <c r="A78" s="66" t="s">
        <v>225</v>
      </c>
      <c r="B78" s="66" t="s">
        <v>806</v>
      </c>
      <c r="C78" s="2">
        <v>21</v>
      </c>
      <c r="D78" s="3">
        <v>2</v>
      </c>
      <c r="E78" s="2">
        <v>33.6</v>
      </c>
      <c r="F78" s="57" t="s">
        <v>226</v>
      </c>
      <c r="G78" s="68">
        <v>0.2</v>
      </c>
      <c r="H78" s="69">
        <v>0.25</v>
      </c>
      <c r="I78" s="2">
        <v>43.5</v>
      </c>
      <c r="J78" s="2">
        <v>60</v>
      </c>
      <c r="K78" s="41">
        <v>55</v>
      </c>
      <c r="L78" s="58">
        <f>AVERAGE(847,845,741,845,856,799,693,850,822,760,830,888)</f>
        <v>814.66666666666663</v>
      </c>
      <c r="M78" s="59" t="s">
        <v>1047</v>
      </c>
      <c r="N78" s="2">
        <f>AVERAGE(899,1080,880,849,1100,1375,1225,909,1100)</f>
        <v>1046.3333333333333</v>
      </c>
      <c r="O78" s="3" t="s">
        <v>1072</v>
      </c>
      <c r="P78" s="58">
        <v>900</v>
      </c>
      <c r="Q78" s="3" t="s">
        <v>836</v>
      </c>
      <c r="R78" s="41" t="s">
        <v>32</v>
      </c>
      <c r="S78" s="58">
        <v>1170</v>
      </c>
      <c r="T78" s="3" t="s">
        <v>836</v>
      </c>
      <c r="U78" s="41" t="s">
        <v>30</v>
      </c>
    </row>
    <row r="79" spans="1:21" ht="12.6" customHeight="1">
      <c r="A79" s="66" t="s">
        <v>225</v>
      </c>
      <c r="B79" s="66" t="s">
        <v>805</v>
      </c>
      <c r="C79" s="2">
        <v>21</v>
      </c>
      <c r="D79" s="3">
        <v>3.5</v>
      </c>
      <c r="E79" s="2">
        <v>33.6</v>
      </c>
      <c r="F79" s="57" t="s">
        <v>226</v>
      </c>
      <c r="G79" s="68">
        <v>0.2</v>
      </c>
      <c r="H79" s="69">
        <v>0.18</v>
      </c>
      <c r="I79" s="2">
        <v>31</v>
      </c>
      <c r="J79" s="2">
        <v>59</v>
      </c>
      <c r="K79" s="41">
        <v>49</v>
      </c>
      <c r="L79" s="58">
        <f>AVERAGE(268,290,281,308,345,348,355,345,330,294,350)</f>
        <v>319.45454545454544</v>
      </c>
      <c r="M79" s="59" t="s">
        <v>1072</v>
      </c>
      <c r="N79" s="2">
        <f>AVERAGE(340,400,402,396,409,438,455,478,399,405)</f>
        <v>412.2</v>
      </c>
      <c r="O79" s="3" t="s">
        <v>1072</v>
      </c>
      <c r="P79" s="58">
        <v>330</v>
      </c>
      <c r="Q79" s="3" t="s">
        <v>1072</v>
      </c>
      <c r="R79" s="41" t="s">
        <v>32</v>
      </c>
      <c r="S79" s="58">
        <v>525</v>
      </c>
      <c r="T79" s="3" t="s">
        <v>917</v>
      </c>
      <c r="U79" s="41" t="s">
        <v>514</v>
      </c>
    </row>
    <row r="80" spans="1:21" ht="12.6" customHeight="1">
      <c r="A80" s="66" t="s">
        <v>225</v>
      </c>
      <c r="B80" s="66" t="s">
        <v>228</v>
      </c>
      <c r="C80" s="2">
        <v>24</v>
      </c>
      <c r="D80" s="3">
        <v>2</v>
      </c>
      <c r="E80" s="2">
        <v>38.4</v>
      </c>
      <c r="F80" s="57" t="s">
        <v>226</v>
      </c>
      <c r="G80" s="68">
        <v>0.25</v>
      </c>
      <c r="H80" s="69">
        <v>0.28000000000000003</v>
      </c>
      <c r="I80" s="2">
        <v>48</v>
      </c>
      <c r="J80" s="2">
        <v>60</v>
      </c>
      <c r="K80" s="41">
        <v>55</v>
      </c>
      <c r="L80" s="58">
        <f>AVERAGE(275,256,345,315,340,309,398,341)</f>
        <v>322.375</v>
      </c>
      <c r="M80" s="59" t="s">
        <v>1072</v>
      </c>
      <c r="N80" s="2">
        <f>AVERAGE(530,564,575,695,585,525)</f>
        <v>579</v>
      </c>
      <c r="O80" s="3" t="s">
        <v>1033</v>
      </c>
      <c r="P80" s="58">
        <v>400</v>
      </c>
      <c r="Q80" s="3" t="s">
        <v>1072</v>
      </c>
      <c r="R80" s="41" t="s">
        <v>32</v>
      </c>
      <c r="S80" s="58">
        <v>668</v>
      </c>
      <c r="T80" s="3" t="s">
        <v>981</v>
      </c>
      <c r="U80" s="41" t="s">
        <v>30</v>
      </c>
    </row>
    <row r="81" spans="1:21" ht="12.6" customHeight="1">
      <c r="A81" s="66" t="s">
        <v>225</v>
      </c>
      <c r="B81" s="66" t="s">
        <v>747</v>
      </c>
      <c r="C81" s="2">
        <v>24</v>
      </c>
      <c r="D81" s="3">
        <v>2.8</v>
      </c>
      <c r="E81" s="2">
        <v>38.4</v>
      </c>
      <c r="F81" s="57" t="s">
        <v>226</v>
      </c>
      <c r="G81" s="68">
        <v>0.25</v>
      </c>
      <c r="H81" s="69">
        <v>0.18</v>
      </c>
      <c r="I81" s="2">
        <v>31</v>
      </c>
      <c r="J81" s="2">
        <v>59</v>
      </c>
      <c r="K81" s="41">
        <v>49</v>
      </c>
      <c r="L81" s="58">
        <f>AVERAGE(144,115,130,159,112,128,168,132,123)</f>
        <v>134.55555555555554</v>
      </c>
      <c r="M81" s="59" t="s">
        <v>1072</v>
      </c>
      <c r="N81" s="2">
        <f>AVERAGE(150,178,169,151,170,178,203,216)</f>
        <v>176.875</v>
      </c>
      <c r="O81" s="3" t="s">
        <v>1072</v>
      </c>
      <c r="P81" s="58">
        <v>220</v>
      </c>
      <c r="Q81" s="3" t="s">
        <v>1072</v>
      </c>
      <c r="R81" s="41" t="s">
        <v>32</v>
      </c>
      <c r="S81" s="58">
        <v>260</v>
      </c>
      <c r="T81" s="3" t="s">
        <v>1045</v>
      </c>
      <c r="U81" s="41" t="s">
        <v>32</v>
      </c>
    </row>
    <row r="82" spans="1:21" ht="12.6" customHeight="1">
      <c r="A82" s="66" t="s">
        <v>225</v>
      </c>
      <c r="B82" s="66" t="s">
        <v>889</v>
      </c>
      <c r="C82" s="2">
        <v>24</v>
      </c>
      <c r="D82" s="3">
        <v>3.5</v>
      </c>
      <c r="E82" s="2">
        <v>38.4</v>
      </c>
      <c r="F82" s="57" t="s">
        <v>226</v>
      </c>
      <c r="G82" s="68">
        <v>0.35</v>
      </c>
      <c r="H82" s="69">
        <v>0.51</v>
      </c>
      <c r="I82" s="2">
        <v>75</v>
      </c>
      <c r="J82" s="2">
        <v>84</v>
      </c>
      <c r="K82" s="41" t="s">
        <v>105</v>
      </c>
      <c r="L82" s="58">
        <f>AVERAGE(710,595,725,787)</f>
        <v>704.25</v>
      </c>
      <c r="M82" s="59" t="s">
        <v>1072</v>
      </c>
      <c r="N82" s="2">
        <f>AVERAGE(1175,1099,1045,1250)</f>
        <v>1142.25</v>
      </c>
      <c r="O82" s="3" t="s">
        <v>981</v>
      </c>
      <c r="P82" s="58">
        <v>1080</v>
      </c>
      <c r="Q82" s="3" t="s">
        <v>981</v>
      </c>
      <c r="R82" s="41" t="s">
        <v>30</v>
      </c>
      <c r="S82" s="58">
        <v>2800</v>
      </c>
      <c r="T82" s="3" t="s">
        <v>917</v>
      </c>
      <c r="U82" s="41" t="s">
        <v>514</v>
      </c>
    </row>
    <row r="83" spans="1:21" ht="12.6" customHeight="1">
      <c r="A83" s="60" t="s">
        <v>225</v>
      </c>
      <c r="B83" s="60" t="s">
        <v>227</v>
      </c>
      <c r="C83" s="27">
        <v>35</v>
      </c>
      <c r="D83" s="64">
        <v>2.8</v>
      </c>
      <c r="E83" s="27">
        <v>56</v>
      </c>
      <c r="F83" s="62" t="s">
        <v>226</v>
      </c>
      <c r="G83" s="50">
        <v>0.3</v>
      </c>
      <c r="H83" s="31">
        <v>0.31</v>
      </c>
      <c r="I83" s="27">
        <v>58</v>
      </c>
      <c r="J83" s="27">
        <v>68</v>
      </c>
      <c r="K83" s="43">
        <v>49</v>
      </c>
      <c r="L83" s="27">
        <f>AVERAGE(340,299,261,228,332,288,300,330,299,282,288)</f>
        <v>295.18181818181819</v>
      </c>
      <c r="M83" s="27" t="s">
        <v>1045</v>
      </c>
      <c r="N83" s="52">
        <f>AVERAGE(346,447,338,450,400,480,425,500,458,500)</f>
        <v>434.4</v>
      </c>
      <c r="O83" s="27" t="s">
        <v>1045</v>
      </c>
      <c r="P83" s="52">
        <v>380</v>
      </c>
      <c r="Q83" s="27" t="s">
        <v>1072</v>
      </c>
      <c r="R83" s="43" t="s">
        <v>30</v>
      </c>
      <c r="S83" s="52">
        <v>520</v>
      </c>
      <c r="T83" s="27" t="s">
        <v>1072</v>
      </c>
      <c r="U83" s="43" t="s">
        <v>32</v>
      </c>
    </row>
    <row r="84" spans="1:21" ht="12.6" customHeight="1">
      <c r="A84" s="66" t="s">
        <v>225</v>
      </c>
      <c r="B84" s="66" t="s">
        <v>701</v>
      </c>
      <c r="C84" s="2">
        <v>40</v>
      </c>
      <c r="D84" s="3">
        <v>2</v>
      </c>
      <c r="E84" s="2">
        <f>C84*1.6</f>
        <v>64</v>
      </c>
      <c r="F84" s="57" t="s">
        <v>226</v>
      </c>
      <c r="G84" s="68">
        <v>0.3</v>
      </c>
      <c r="H84" s="69">
        <v>0.14000000000000001</v>
      </c>
      <c r="I84" s="2">
        <v>25</v>
      </c>
      <c r="J84" s="2">
        <v>60</v>
      </c>
      <c r="K84" s="41">
        <v>49</v>
      </c>
      <c r="L84" s="71">
        <f>AVERAGE(369,210,300,400,321)</f>
        <v>320</v>
      </c>
      <c r="M84" s="72" t="s">
        <v>1072</v>
      </c>
      <c r="N84" s="71">
        <f>AVERAGE(456,424,369,470,513,419)</f>
        <v>441.83333333333331</v>
      </c>
      <c r="O84" s="72" t="s">
        <v>1072</v>
      </c>
      <c r="P84" s="58">
        <v>415</v>
      </c>
      <c r="Q84" s="2" t="s">
        <v>739</v>
      </c>
      <c r="R84" s="41" t="s">
        <v>30</v>
      </c>
      <c r="S84" s="58">
        <v>450</v>
      </c>
      <c r="T84" s="2" t="s">
        <v>714</v>
      </c>
      <c r="U84" s="41" t="s">
        <v>28</v>
      </c>
    </row>
    <row r="85" spans="1:21" ht="12.6" customHeight="1">
      <c r="A85" s="66" t="s">
        <v>225</v>
      </c>
      <c r="B85" s="66" t="s">
        <v>516</v>
      </c>
      <c r="C85" s="2">
        <v>50</v>
      </c>
      <c r="D85" s="3">
        <v>1.2</v>
      </c>
      <c r="E85" s="2">
        <v>80</v>
      </c>
      <c r="F85" s="57" t="s">
        <v>226</v>
      </c>
      <c r="G85" s="68">
        <v>0.45</v>
      </c>
      <c r="H85" s="69">
        <v>0.28499999999999998</v>
      </c>
      <c r="I85" s="2">
        <v>43</v>
      </c>
      <c r="J85" s="2">
        <v>65</v>
      </c>
      <c r="K85" s="41">
        <v>49</v>
      </c>
      <c r="L85" s="58">
        <f>AVERAGE(458,466,415,425,420,440,408)</f>
        <v>433.14285714285717</v>
      </c>
      <c r="M85" s="59" t="s">
        <v>1072</v>
      </c>
      <c r="N85" s="58">
        <f>AVERAGE(479,695,620,540,486,590,565,750,736,650)</f>
        <v>611.1</v>
      </c>
      <c r="O85" s="59" t="s">
        <v>1072</v>
      </c>
      <c r="P85" s="58">
        <v>490</v>
      </c>
      <c r="Q85" s="3" t="s">
        <v>973</v>
      </c>
      <c r="R85" s="41" t="s">
        <v>32</v>
      </c>
      <c r="S85" s="58">
        <v>850</v>
      </c>
      <c r="T85" s="3" t="s">
        <v>917</v>
      </c>
      <c r="U85" s="41" t="s">
        <v>514</v>
      </c>
    </row>
    <row r="86" spans="1:21" s="17" customFormat="1" ht="12.6" customHeight="1">
      <c r="A86" s="17" t="s">
        <v>225</v>
      </c>
      <c r="B86" s="17" t="s">
        <v>738</v>
      </c>
      <c r="C86" s="3">
        <v>50</v>
      </c>
      <c r="D86" s="73">
        <v>1.8</v>
      </c>
      <c r="E86" s="2">
        <v>80</v>
      </c>
      <c r="F86" s="68" t="s">
        <v>226</v>
      </c>
      <c r="G86" s="68">
        <v>0.45</v>
      </c>
      <c r="H86" s="69">
        <v>0.17</v>
      </c>
      <c r="I86" s="2">
        <v>31</v>
      </c>
      <c r="J86" s="2">
        <v>61</v>
      </c>
      <c r="K86" s="59">
        <v>49</v>
      </c>
      <c r="L86" s="58">
        <f>AVERAGE(0)</f>
        <v>0</v>
      </c>
      <c r="M86" s="59" t="s">
        <v>16</v>
      </c>
      <c r="N86" s="58">
        <f>AVERAGE(149)</f>
        <v>149</v>
      </c>
      <c r="O86" s="3" t="s">
        <v>1072</v>
      </c>
      <c r="P86" s="74">
        <v>60</v>
      </c>
      <c r="Q86" s="3" t="s">
        <v>1072</v>
      </c>
      <c r="R86" s="41" t="s">
        <v>32</v>
      </c>
      <c r="S86" s="74">
        <v>85</v>
      </c>
      <c r="T86" s="3" t="s">
        <v>917</v>
      </c>
      <c r="U86" s="59" t="s">
        <v>32</v>
      </c>
    </row>
    <row r="87" spans="1:21" ht="12.6" customHeight="1">
      <c r="A87" s="66" t="s">
        <v>225</v>
      </c>
      <c r="B87" s="66" t="s">
        <v>746</v>
      </c>
      <c r="C87" s="2">
        <v>55</v>
      </c>
      <c r="D87" s="3">
        <v>1.2</v>
      </c>
      <c r="E87" s="2">
        <v>80</v>
      </c>
      <c r="F87" s="57" t="s">
        <v>226</v>
      </c>
      <c r="G87" s="68">
        <v>0.45</v>
      </c>
      <c r="H87" s="69">
        <v>0.31</v>
      </c>
      <c r="I87" s="2">
        <v>47</v>
      </c>
      <c r="J87" s="2">
        <v>65</v>
      </c>
      <c r="K87" s="41">
        <v>49</v>
      </c>
      <c r="L87" s="58">
        <f>AVERAGE(323,280,249,257,340,223,365,301,305,340,347)</f>
        <v>302.72727272727275</v>
      </c>
      <c r="M87" s="59" t="s">
        <v>1072</v>
      </c>
      <c r="N87" s="58">
        <f>AVERAGE(340,355,390,397,425,395,400,400,430)</f>
        <v>392.44444444444446</v>
      </c>
      <c r="O87" s="59" t="s">
        <v>1047</v>
      </c>
      <c r="P87" s="58">
        <v>500</v>
      </c>
      <c r="Q87" s="3" t="s">
        <v>981</v>
      </c>
      <c r="R87" s="41" t="s">
        <v>30</v>
      </c>
      <c r="S87" s="58">
        <v>750</v>
      </c>
      <c r="T87" s="3" t="s">
        <v>917</v>
      </c>
      <c r="U87" s="41" t="s">
        <v>514</v>
      </c>
    </row>
    <row r="88" spans="1:21" ht="12.6" customHeight="1">
      <c r="A88" s="66" t="s">
        <v>225</v>
      </c>
      <c r="B88" s="66" t="s">
        <v>745</v>
      </c>
      <c r="C88" s="2">
        <v>85</v>
      </c>
      <c r="D88" s="3">
        <v>2</v>
      </c>
      <c r="E88" s="2">
        <f>C88*1.6</f>
        <v>136</v>
      </c>
      <c r="F88" s="57" t="s">
        <v>226</v>
      </c>
      <c r="G88" s="68">
        <v>0.85</v>
      </c>
      <c r="H88" s="69">
        <v>0.26</v>
      </c>
      <c r="I88" s="2">
        <v>48</v>
      </c>
      <c r="J88" s="2">
        <v>60</v>
      </c>
      <c r="K88" s="41">
        <v>49</v>
      </c>
      <c r="L88" s="58">
        <f>AVERAGE(230,180,189,203,243,258,238,241,259)</f>
        <v>226.77777777777777</v>
      </c>
      <c r="M88" s="59" t="s">
        <v>1072</v>
      </c>
      <c r="N88" s="58">
        <f>AVERAGE(259,350,338,389,335,368,348,398)</f>
        <v>348.125</v>
      </c>
      <c r="O88" s="59" t="s">
        <v>1072</v>
      </c>
      <c r="P88" s="58">
        <v>367</v>
      </c>
      <c r="Q88" s="3" t="s">
        <v>981</v>
      </c>
      <c r="R88" s="41" t="s">
        <v>30</v>
      </c>
      <c r="S88" s="58">
        <v>245</v>
      </c>
      <c r="T88" s="3" t="s">
        <v>878</v>
      </c>
      <c r="U88" s="41" t="s">
        <v>28</v>
      </c>
    </row>
    <row r="89" spans="1:21" s="17" customFormat="1" ht="12.6" customHeight="1">
      <c r="A89" s="60" t="s">
        <v>225</v>
      </c>
      <c r="B89" s="60" t="s">
        <v>596</v>
      </c>
      <c r="C89" s="64">
        <v>90</v>
      </c>
      <c r="D89" s="64">
        <v>2</v>
      </c>
      <c r="E89" s="27">
        <v>144</v>
      </c>
      <c r="F89" s="65" t="s">
        <v>226</v>
      </c>
      <c r="G89" s="50">
        <v>0.4</v>
      </c>
      <c r="H89" s="31">
        <v>0.55000000000000004</v>
      </c>
      <c r="I89" s="27">
        <v>71</v>
      </c>
      <c r="J89" s="27">
        <v>72</v>
      </c>
      <c r="K89" s="27">
        <v>55</v>
      </c>
      <c r="L89" s="52">
        <f>AVERAGE(702,825,685,862,859,754,900,767,750,800)</f>
        <v>790.4</v>
      </c>
      <c r="M89" s="61" t="s">
        <v>1072</v>
      </c>
      <c r="N89" s="52">
        <f>AVERAGE(950,1080,1060,1012,1048,966,998,998,1170,911,999)</f>
        <v>1017.4545454545455</v>
      </c>
      <c r="O89" s="61" t="s">
        <v>981</v>
      </c>
      <c r="P89" s="52">
        <v>1080</v>
      </c>
      <c r="Q89" s="61" t="s">
        <v>1072</v>
      </c>
      <c r="R89" s="27" t="s">
        <v>30</v>
      </c>
      <c r="S89" s="52" t="s">
        <v>16</v>
      </c>
      <c r="T89" s="61" t="s">
        <v>16</v>
      </c>
      <c r="U89" s="43" t="s">
        <v>16</v>
      </c>
    </row>
    <row r="90" spans="1:21" s="17" customFormat="1" ht="12.6" customHeight="1">
      <c r="A90" s="66" t="s">
        <v>225</v>
      </c>
      <c r="B90" s="66" t="s">
        <v>721</v>
      </c>
      <c r="C90" s="3">
        <v>100</v>
      </c>
      <c r="D90" s="3">
        <v>2</v>
      </c>
      <c r="E90" s="2">
        <v>160</v>
      </c>
      <c r="F90" s="67" t="s">
        <v>226</v>
      </c>
      <c r="G90" s="68">
        <v>0.7</v>
      </c>
      <c r="H90" s="69">
        <v>0.52</v>
      </c>
      <c r="I90" s="2">
        <v>72</v>
      </c>
      <c r="J90" s="2">
        <v>70</v>
      </c>
      <c r="K90" s="2">
        <v>55</v>
      </c>
      <c r="L90" s="58">
        <f>AVERAGE(475,600,560,740,665)</f>
        <v>608</v>
      </c>
      <c r="M90" s="16" t="s">
        <v>1072</v>
      </c>
      <c r="N90" s="58">
        <f>AVERAGE(992,900,1019,958,998,950,1028,1136,915,960)</f>
        <v>985.6</v>
      </c>
      <c r="O90" s="16" t="s">
        <v>952</v>
      </c>
      <c r="P90" s="58">
        <v>880</v>
      </c>
      <c r="Q90" s="16" t="s">
        <v>1072</v>
      </c>
      <c r="R90" s="2" t="s">
        <v>30</v>
      </c>
      <c r="S90" s="58" t="s">
        <v>16</v>
      </c>
      <c r="T90" s="16" t="s">
        <v>16</v>
      </c>
      <c r="U90" s="41" t="s">
        <v>16</v>
      </c>
    </row>
    <row r="91" spans="1:21" ht="12.6" customHeight="1">
      <c r="A91" s="66" t="s">
        <v>225</v>
      </c>
      <c r="B91" s="66" t="s">
        <v>744</v>
      </c>
      <c r="C91" s="2">
        <v>135</v>
      </c>
      <c r="D91" s="3">
        <v>4.5</v>
      </c>
      <c r="E91" s="2">
        <f>1.6*C91</f>
        <v>216</v>
      </c>
      <c r="F91" s="57" t="s">
        <v>226</v>
      </c>
      <c r="G91" s="68" t="s">
        <v>31</v>
      </c>
      <c r="H91" s="69">
        <v>0.32</v>
      </c>
      <c r="I91" s="2">
        <v>47</v>
      </c>
      <c r="J91" s="2">
        <v>60</v>
      </c>
      <c r="K91" s="41">
        <v>55</v>
      </c>
      <c r="L91" s="58">
        <f>AVERAGE(119,117,195,225,230,155,200,225,249,182)</f>
        <v>189.7</v>
      </c>
      <c r="M91" s="41" t="s">
        <v>1072</v>
      </c>
      <c r="N91" s="2">
        <f>AVERAGE(307,292,350,360,300,350)</f>
        <v>326.5</v>
      </c>
      <c r="O91" s="3" t="s">
        <v>870</v>
      </c>
      <c r="P91" s="58">
        <v>165</v>
      </c>
      <c r="Q91" s="3" t="s">
        <v>981</v>
      </c>
      <c r="R91" s="41" t="s">
        <v>33</v>
      </c>
      <c r="S91" s="58">
        <v>245</v>
      </c>
      <c r="T91" s="3" t="s">
        <v>772</v>
      </c>
      <c r="U91" s="41" t="s">
        <v>30</v>
      </c>
    </row>
    <row r="92" spans="1:21" ht="12.6" customHeight="1">
      <c r="A92" s="66" t="s">
        <v>225</v>
      </c>
      <c r="B92" s="66" t="s">
        <v>976</v>
      </c>
      <c r="C92" s="2">
        <v>180</v>
      </c>
      <c r="D92" s="3">
        <v>2</v>
      </c>
      <c r="E92" s="2">
        <v>288</v>
      </c>
      <c r="F92" s="57" t="s">
        <v>226</v>
      </c>
      <c r="G92" s="68">
        <v>1.58</v>
      </c>
      <c r="H92" s="69">
        <v>1.9</v>
      </c>
      <c r="I92" s="2">
        <v>173</v>
      </c>
      <c r="J92" s="2">
        <v>107</v>
      </c>
      <c r="K92" s="41">
        <v>100</v>
      </c>
      <c r="L92" s="58">
        <f>AVERAGE(2970,2500)</f>
        <v>2735</v>
      </c>
      <c r="M92" s="41" t="s">
        <v>1072</v>
      </c>
      <c r="N92" s="2">
        <f>AVERAGE(7890,5453)</f>
        <v>6671.5</v>
      </c>
      <c r="O92" s="3" t="s">
        <v>917</v>
      </c>
      <c r="P92" s="58">
        <v>2300</v>
      </c>
      <c r="Q92" s="3" t="s">
        <v>772</v>
      </c>
      <c r="R92" s="41" t="s">
        <v>514</v>
      </c>
      <c r="S92" s="58" t="s">
        <v>16</v>
      </c>
      <c r="T92" s="3" t="s">
        <v>16</v>
      </c>
      <c r="U92" s="41" t="s">
        <v>16</v>
      </c>
    </row>
    <row r="93" spans="1:21" s="17" customFormat="1" ht="12.6" customHeight="1">
      <c r="A93" s="17" t="s">
        <v>225</v>
      </c>
      <c r="B93" s="17" t="s">
        <v>718</v>
      </c>
      <c r="C93" s="3">
        <v>200</v>
      </c>
      <c r="D93" s="73">
        <v>4</v>
      </c>
      <c r="E93" s="2">
        <v>288</v>
      </c>
      <c r="F93" s="68" t="s">
        <v>226</v>
      </c>
      <c r="G93" s="68">
        <v>2.5</v>
      </c>
      <c r="H93" s="69">
        <v>0.51</v>
      </c>
      <c r="I93" s="2">
        <v>127</v>
      </c>
      <c r="J93" s="2">
        <v>67</v>
      </c>
      <c r="K93" s="59">
        <v>55</v>
      </c>
      <c r="L93" s="58">
        <f>AVERAGE(109,100,109)</f>
        <v>106</v>
      </c>
      <c r="M93" s="59" t="s">
        <v>1072</v>
      </c>
      <c r="N93" s="58">
        <f>AVERAGE(179,165,179,143,140,110,133,218)</f>
        <v>158.375</v>
      </c>
      <c r="O93" s="3" t="s">
        <v>878</v>
      </c>
      <c r="P93" s="74">
        <v>100</v>
      </c>
      <c r="Q93" s="3" t="s">
        <v>1045</v>
      </c>
      <c r="R93" s="41" t="s">
        <v>32</v>
      </c>
      <c r="S93" s="74" t="s">
        <v>16</v>
      </c>
      <c r="T93" s="3" t="s">
        <v>16</v>
      </c>
      <c r="U93" s="59" t="s">
        <v>16</v>
      </c>
    </row>
    <row r="94" spans="1:21" ht="12.6" customHeight="1">
      <c r="A94" s="66" t="s">
        <v>225</v>
      </c>
      <c r="B94" s="66" t="s">
        <v>974</v>
      </c>
      <c r="C94" s="2">
        <v>250</v>
      </c>
      <c r="D94" s="3">
        <v>2</v>
      </c>
      <c r="E94" s="2">
        <v>400</v>
      </c>
      <c r="F94" s="57" t="s">
        <v>226</v>
      </c>
      <c r="G94" s="68">
        <v>2.2000000000000002</v>
      </c>
      <c r="H94" s="69">
        <v>3.9</v>
      </c>
      <c r="I94" s="2">
        <v>246</v>
      </c>
      <c r="J94" s="2">
        <v>142</v>
      </c>
      <c r="K94" s="41" t="s">
        <v>122</v>
      </c>
      <c r="L94" s="58">
        <f>AVERAGE(0)</f>
        <v>0</v>
      </c>
      <c r="M94" s="59" t="s">
        <v>16</v>
      </c>
      <c r="N94" s="2">
        <f>AVERAGE(3425)</f>
        <v>3425</v>
      </c>
      <c r="O94" s="3" t="s">
        <v>739</v>
      </c>
      <c r="P94" s="58" t="s">
        <v>16</v>
      </c>
      <c r="Q94" s="3" t="s">
        <v>16</v>
      </c>
      <c r="R94" s="41" t="s">
        <v>16</v>
      </c>
      <c r="S94" s="58">
        <v>4500</v>
      </c>
      <c r="T94" s="3" t="s">
        <v>772</v>
      </c>
      <c r="U94" s="41" t="s">
        <v>514</v>
      </c>
    </row>
    <row r="95" spans="1:21" ht="12.6" customHeight="1">
      <c r="A95" s="60" t="s">
        <v>225</v>
      </c>
      <c r="B95" s="60" t="s">
        <v>975</v>
      </c>
      <c r="C95" s="27">
        <v>350</v>
      </c>
      <c r="D95" s="64">
        <v>2.8</v>
      </c>
      <c r="E95" s="27">
        <v>560</v>
      </c>
      <c r="F95" s="62" t="s">
        <v>226</v>
      </c>
      <c r="G95" s="50">
        <v>3</v>
      </c>
      <c r="H95" s="31">
        <v>3.9</v>
      </c>
      <c r="I95" s="27">
        <v>280</v>
      </c>
      <c r="J95" s="27">
        <v>142</v>
      </c>
      <c r="K95" s="43" t="s">
        <v>122</v>
      </c>
      <c r="L95" s="52">
        <f>AVERAGE(1750,2100)</f>
        <v>1925</v>
      </c>
      <c r="M95" s="43" t="s">
        <v>1072</v>
      </c>
      <c r="N95" s="27" t="s">
        <v>16</v>
      </c>
      <c r="O95" s="27" t="s">
        <v>16</v>
      </c>
      <c r="P95" s="52">
        <v>2000</v>
      </c>
      <c r="Q95" s="27" t="s">
        <v>1072</v>
      </c>
      <c r="R95" s="43" t="s">
        <v>32</v>
      </c>
      <c r="S95" s="52">
        <v>6000</v>
      </c>
      <c r="T95" s="27" t="s">
        <v>981</v>
      </c>
      <c r="U95" s="43" t="s">
        <v>514</v>
      </c>
    </row>
    <row r="96" spans="1:21" ht="12.6" customHeight="1">
      <c r="A96" s="66" t="s">
        <v>225</v>
      </c>
      <c r="B96" s="66" t="s">
        <v>924</v>
      </c>
      <c r="C96" s="2" t="s">
        <v>134</v>
      </c>
      <c r="D96" s="3">
        <v>3.6</v>
      </c>
      <c r="E96" s="2"/>
      <c r="F96" s="57" t="s">
        <v>226</v>
      </c>
      <c r="G96" s="68"/>
      <c r="H96" s="69"/>
      <c r="I96" s="2"/>
      <c r="J96" s="2"/>
      <c r="K96" s="41"/>
      <c r="L96" s="58">
        <f>AVERAGE(105,106,106,109,109,79,115)</f>
        <v>104.14285714285714</v>
      </c>
      <c r="M96" s="59" t="s">
        <v>1010</v>
      </c>
      <c r="N96" s="58">
        <f>AVERAGE(177,174,208,200,279,150)</f>
        <v>198</v>
      </c>
      <c r="O96" s="3" t="s">
        <v>1072</v>
      </c>
      <c r="P96" s="58"/>
      <c r="Q96" s="3"/>
      <c r="R96" s="41"/>
      <c r="S96" s="58"/>
      <c r="T96" s="3"/>
      <c r="U96" s="41"/>
    </row>
    <row r="97" spans="1:21" ht="12.6" customHeight="1">
      <c r="A97" s="60" t="s">
        <v>225</v>
      </c>
      <c r="B97" s="60" t="s">
        <v>720</v>
      </c>
      <c r="C97" s="27" t="s">
        <v>521</v>
      </c>
      <c r="D97" s="64">
        <v>2.8</v>
      </c>
      <c r="E97" s="27" t="s">
        <v>530</v>
      </c>
      <c r="F97" s="62" t="s">
        <v>226</v>
      </c>
      <c r="G97" s="50">
        <v>0.6</v>
      </c>
      <c r="H97" s="31">
        <v>0.65</v>
      </c>
      <c r="I97" s="27">
        <v>99</v>
      </c>
      <c r="J97" s="27">
        <v>69</v>
      </c>
      <c r="K97" s="43">
        <v>62</v>
      </c>
      <c r="L97" s="52">
        <f>AVERAGE(619,675,900)</f>
        <v>731.33333333333337</v>
      </c>
      <c r="M97" s="43" t="s">
        <v>1072</v>
      </c>
      <c r="N97" s="27">
        <f>AVERAGE(1060,930,850)</f>
        <v>946.66666666666663</v>
      </c>
      <c r="O97" s="27" t="s">
        <v>1072</v>
      </c>
      <c r="P97" s="52">
        <v>1080</v>
      </c>
      <c r="Q97" s="27" t="s">
        <v>772</v>
      </c>
      <c r="R97" s="43" t="s">
        <v>30</v>
      </c>
      <c r="S97" s="52">
        <v>1600</v>
      </c>
      <c r="T97" s="27" t="s">
        <v>772</v>
      </c>
      <c r="U97" s="43" t="s">
        <v>514</v>
      </c>
    </row>
    <row r="98" spans="1:21" ht="12.6" customHeight="1">
      <c r="A98" s="60" t="s">
        <v>16</v>
      </c>
      <c r="B98" s="60" t="s">
        <v>16</v>
      </c>
      <c r="C98" s="27" t="s">
        <v>16</v>
      </c>
      <c r="D98" s="64" t="s">
        <v>16</v>
      </c>
      <c r="E98" s="27" t="s">
        <v>16</v>
      </c>
      <c r="F98" s="31" t="s">
        <v>16</v>
      </c>
      <c r="G98" s="32" t="s">
        <v>16</v>
      </c>
      <c r="H98" s="31" t="s">
        <v>16</v>
      </c>
      <c r="I98" s="27" t="s">
        <v>16</v>
      </c>
      <c r="J98" s="27" t="s">
        <v>16</v>
      </c>
      <c r="K98" s="27" t="s">
        <v>16</v>
      </c>
      <c r="L98" s="27" t="s">
        <v>16</v>
      </c>
      <c r="M98" s="27" t="s">
        <v>16</v>
      </c>
      <c r="N98" s="27" t="s">
        <v>16</v>
      </c>
      <c r="O98" s="27" t="s">
        <v>16</v>
      </c>
      <c r="P98" s="27" t="s">
        <v>16</v>
      </c>
      <c r="Q98" s="27" t="s">
        <v>16</v>
      </c>
      <c r="R98" s="27" t="s">
        <v>16</v>
      </c>
      <c r="S98" s="27" t="s">
        <v>16</v>
      </c>
      <c r="T98" s="27" t="s">
        <v>16</v>
      </c>
      <c r="U98" s="27" t="s">
        <v>16</v>
      </c>
    </row>
    <row r="99" spans="1:21" s="17" customFormat="1" ht="12.6" customHeight="1">
      <c r="A99" s="97" t="s">
        <v>414</v>
      </c>
      <c r="B99" s="98"/>
      <c r="C99" s="34"/>
      <c r="D99" s="99"/>
      <c r="E99" s="34"/>
      <c r="F99" s="100" t="s">
        <v>16</v>
      </c>
      <c r="G99" s="101" t="s">
        <v>16</v>
      </c>
      <c r="H99" s="102" t="s">
        <v>16</v>
      </c>
      <c r="I99" s="34" t="s">
        <v>16</v>
      </c>
      <c r="J99" s="34" t="s">
        <v>16</v>
      </c>
      <c r="K99" s="34" t="s">
        <v>16</v>
      </c>
      <c r="L99" s="34" t="s">
        <v>16</v>
      </c>
      <c r="M99" s="34" t="s">
        <v>16</v>
      </c>
      <c r="N99" s="34" t="s">
        <v>16</v>
      </c>
      <c r="O99" s="34" t="s">
        <v>16</v>
      </c>
      <c r="P99" s="34" t="s">
        <v>16</v>
      </c>
      <c r="Q99" s="34" t="s">
        <v>16</v>
      </c>
      <c r="R99" s="34" t="s">
        <v>16</v>
      </c>
      <c r="S99" s="34" t="s">
        <v>16</v>
      </c>
      <c r="T99" s="34" t="s">
        <v>16</v>
      </c>
      <c r="U99" s="34" t="s">
        <v>16</v>
      </c>
    </row>
    <row r="100" spans="1:21" s="17" customFormat="1" ht="12.6" customHeight="1">
      <c r="A100" s="17" t="s">
        <v>137</v>
      </c>
      <c r="B100" s="17" t="s">
        <v>1053</v>
      </c>
      <c r="C100" s="3">
        <v>15</v>
      </c>
      <c r="D100" s="73">
        <v>3.5</v>
      </c>
      <c r="E100" s="2">
        <v>24</v>
      </c>
      <c r="F100" s="68" t="s">
        <v>136</v>
      </c>
      <c r="G100" s="68">
        <v>0.3</v>
      </c>
      <c r="H100" s="69">
        <v>0.56999999999999995</v>
      </c>
      <c r="I100" s="2">
        <v>82</v>
      </c>
      <c r="J100" s="2">
        <v>80</v>
      </c>
      <c r="K100" s="2" t="s">
        <v>105</v>
      </c>
      <c r="L100" s="58" t="s">
        <v>16</v>
      </c>
      <c r="M100" s="3" t="s">
        <v>16</v>
      </c>
      <c r="N100" s="58">
        <f>AVERAGE(750,950)</f>
        <v>850</v>
      </c>
      <c r="O100" s="3" t="s">
        <v>1045</v>
      </c>
      <c r="P100" s="74" t="s">
        <v>16</v>
      </c>
      <c r="Q100" s="3" t="s">
        <v>16</v>
      </c>
      <c r="R100" s="41" t="s">
        <v>16</v>
      </c>
      <c r="S100" s="74" t="s">
        <v>16</v>
      </c>
      <c r="T100" s="3" t="s">
        <v>16</v>
      </c>
      <c r="U100" s="59" t="s">
        <v>16</v>
      </c>
    </row>
    <row r="101" spans="1:21" s="17" customFormat="1" ht="12.6" customHeight="1">
      <c r="A101" s="66" t="s">
        <v>137</v>
      </c>
      <c r="B101" s="66" t="s">
        <v>1052</v>
      </c>
      <c r="C101" s="3">
        <v>15</v>
      </c>
      <c r="D101" s="73">
        <v>3.5</v>
      </c>
      <c r="E101" s="2">
        <v>24</v>
      </c>
      <c r="F101" s="67" t="s">
        <v>136</v>
      </c>
      <c r="G101" s="68" t="s">
        <v>16</v>
      </c>
      <c r="H101" s="69" t="s">
        <v>16</v>
      </c>
      <c r="I101" s="2" t="s">
        <v>16</v>
      </c>
      <c r="J101" s="2" t="s">
        <v>16</v>
      </c>
      <c r="K101" s="2" t="s">
        <v>16</v>
      </c>
      <c r="L101" s="58">
        <f>AVERAGE(807,962,800)</f>
        <v>856.33333333333337</v>
      </c>
      <c r="M101" s="3" t="s">
        <v>1072</v>
      </c>
      <c r="N101" s="58" t="s">
        <v>16</v>
      </c>
      <c r="O101" s="3" t="s">
        <v>16</v>
      </c>
      <c r="P101" s="58" t="s">
        <v>16</v>
      </c>
      <c r="Q101" s="3" t="s">
        <v>16</v>
      </c>
      <c r="R101" s="2" t="s">
        <v>16</v>
      </c>
      <c r="S101" s="58">
        <v>1700</v>
      </c>
      <c r="T101" s="3" t="s">
        <v>631</v>
      </c>
      <c r="U101" s="41" t="s">
        <v>514</v>
      </c>
    </row>
    <row r="102" spans="1:21" s="17" customFormat="1" ht="12.6" customHeight="1">
      <c r="A102" s="17" t="s">
        <v>137</v>
      </c>
      <c r="B102" s="17" t="s">
        <v>275</v>
      </c>
      <c r="C102" s="3">
        <v>17</v>
      </c>
      <c r="D102" s="3">
        <v>4</v>
      </c>
      <c r="E102" s="2">
        <v>27.2</v>
      </c>
      <c r="F102" s="68" t="s">
        <v>136</v>
      </c>
      <c r="G102" s="68">
        <v>0.2</v>
      </c>
      <c r="H102" s="69">
        <v>0.22800000000000001</v>
      </c>
      <c r="I102" s="2">
        <v>32</v>
      </c>
      <c r="J102" s="2">
        <v>67</v>
      </c>
      <c r="K102" s="2" t="s">
        <v>105</v>
      </c>
      <c r="L102" s="58">
        <f>AVERAGE(263,209,203,180,193,209,212,186,225,269,225)</f>
        <v>215.81818181818181</v>
      </c>
      <c r="M102" s="59" t="s">
        <v>1072</v>
      </c>
      <c r="N102" s="2">
        <f>AVERAGE(263,269,245,270,255,265,298,294)</f>
        <v>269.875</v>
      </c>
      <c r="O102" s="59" t="s">
        <v>1072</v>
      </c>
      <c r="P102" s="58">
        <v>300</v>
      </c>
      <c r="Q102" s="3" t="s">
        <v>981</v>
      </c>
      <c r="R102" s="2" t="s">
        <v>32</v>
      </c>
      <c r="S102" s="58" t="s">
        <v>16</v>
      </c>
      <c r="T102" s="3" t="s">
        <v>16</v>
      </c>
      <c r="U102" s="41" t="s">
        <v>16</v>
      </c>
    </row>
    <row r="103" spans="1:21" s="17" customFormat="1" ht="12.6" customHeight="1">
      <c r="A103" s="17" t="s">
        <v>137</v>
      </c>
      <c r="B103" s="17" t="s">
        <v>399</v>
      </c>
      <c r="C103" s="3">
        <v>17</v>
      </c>
      <c r="D103" s="73">
        <v>4</v>
      </c>
      <c r="E103" s="2">
        <v>27.2</v>
      </c>
      <c r="F103" s="68" t="s">
        <v>136</v>
      </c>
      <c r="G103" s="68">
        <v>0.2</v>
      </c>
      <c r="H103" s="69">
        <v>0.22800000000000001</v>
      </c>
      <c r="I103" s="2">
        <v>32</v>
      </c>
      <c r="J103" s="2">
        <v>67</v>
      </c>
      <c r="K103" s="2" t="s">
        <v>105</v>
      </c>
      <c r="L103" s="58">
        <f>AVERAGE(268,299,245,190,195,221,208,265,265)</f>
        <v>239.55555555555554</v>
      </c>
      <c r="M103" s="59" t="s">
        <v>1072</v>
      </c>
      <c r="N103" s="2">
        <f>AVERAGE(355,255,350,315,461,400)</f>
        <v>356</v>
      </c>
      <c r="O103" s="59" t="s">
        <v>1045</v>
      </c>
      <c r="P103" s="74">
        <v>250</v>
      </c>
      <c r="Q103" s="3" t="s">
        <v>890</v>
      </c>
      <c r="R103" s="41" t="s">
        <v>28</v>
      </c>
      <c r="S103" s="74" t="s">
        <v>16</v>
      </c>
      <c r="T103" s="3" t="s">
        <v>16</v>
      </c>
      <c r="U103" s="59" t="s">
        <v>16</v>
      </c>
    </row>
    <row r="104" spans="1:21" s="17" customFormat="1" ht="12.6" customHeight="1">
      <c r="A104" s="17" t="s">
        <v>137</v>
      </c>
      <c r="B104" s="17" t="s">
        <v>262</v>
      </c>
      <c r="C104" s="3">
        <v>20</v>
      </c>
      <c r="D104" s="3">
        <v>4.5</v>
      </c>
      <c r="E104" s="2">
        <v>32</v>
      </c>
      <c r="F104" s="68" t="s">
        <v>136</v>
      </c>
      <c r="G104" s="68">
        <v>0.2</v>
      </c>
      <c r="H104" s="69">
        <v>0.251</v>
      </c>
      <c r="I104" s="2">
        <v>45</v>
      </c>
      <c r="J104" s="2">
        <v>62</v>
      </c>
      <c r="K104" s="2">
        <v>77</v>
      </c>
      <c r="L104" s="58">
        <f>AVERAGE(100,150,153,136,149)</f>
        <v>137.6</v>
      </c>
      <c r="M104" s="59" t="s">
        <v>1072</v>
      </c>
      <c r="N104" s="2">
        <f>AVERAGE(275)</f>
        <v>275</v>
      </c>
      <c r="O104" s="59" t="s">
        <v>981</v>
      </c>
      <c r="P104" s="74">
        <v>200</v>
      </c>
      <c r="Q104" s="3" t="s">
        <v>878</v>
      </c>
      <c r="R104" s="41" t="s">
        <v>32</v>
      </c>
      <c r="S104" s="74" t="s">
        <v>16</v>
      </c>
      <c r="T104" s="3" t="s">
        <v>16</v>
      </c>
      <c r="U104" s="59" t="s">
        <v>16</v>
      </c>
    </row>
    <row r="105" spans="1:21" ht="12" customHeight="1">
      <c r="A105" s="60" t="s">
        <v>137</v>
      </c>
      <c r="B105" s="60" t="s">
        <v>263</v>
      </c>
      <c r="C105" s="27">
        <v>20</v>
      </c>
      <c r="D105" s="161">
        <v>4.5</v>
      </c>
      <c r="E105" s="27">
        <v>32</v>
      </c>
      <c r="F105" s="62" t="s">
        <v>136</v>
      </c>
      <c r="G105" s="50">
        <v>0.2</v>
      </c>
      <c r="H105" s="31">
        <v>0.251</v>
      </c>
      <c r="I105" s="27">
        <v>45</v>
      </c>
      <c r="J105" s="27">
        <v>62</v>
      </c>
      <c r="K105" s="27">
        <v>77</v>
      </c>
      <c r="L105" s="52">
        <f>AVERAGE(155,153,128,155)</f>
        <v>147.75</v>
      </c>
      <c r="M105" s="43" t="s">
        <v>1072</v>
      </c>
      <c r="N105" s="52">
        <f>AVERAGE(189,234,253,249,278,215)</f>
        <v>236.33333333333334</v>
      </c>
      <c r="O105" s="43" t="s">
        <v>1072</v>
      </c>
      <c r="P105" s="52" t="s">
        <v>16</v>
      </c>
      <c r="Q105" s="27" t="s">
        <v>16</v>
      </c>
      <c r="R105" s="43" t="s">
        <v>16</v>
      </c>
      <c r="S105" s="52" t="s">
        <v>16</v>
      </c>
      <c r="T105" s="27" t="s">
        <v>16</v>
      </c>
      <c r="U105" s="43" t="s">
        <v>16</v>
      </c>
    </row>
    <row r="106" spans="1:21" s="17" customFormat="1" ht="12.6" customHeight="1">
      <c r="A106" s="17" t="s">
        <v>137</v>
      </c>
      <c r="B106" s="17" t="s">
        <v>888</v>
      </c>
      <c r="C106" s="3">
        <v>35</v>
      </c>
      <c r="D106" s="73">
        <v>2</v>
      </c>
      <c r="E106" s="2">
        <f>C106*1.6</f>
        <v>56</v>
      </c>
      <c r="F106" s="68" t="s">
        <v>136</v>
      </c>
      <c r="G106" s="68">
        <v>0.4</v>
      </c>
      <c r="H106" s="69">
        <v>0.24199999999999999</v>
      </c>
      <c r="I106" s="2">
        <v>58</v>
      </c>
      <c r="J106" s="2">
        <v>54</v>
      </c>
      <c r="K106" s="59">
        <v>49</v>
      </c>
      <c r="L106" s="58">
        <f>AVERAGE(150,146,170,185,225,170,223,170)</f>
        <v>179.875</v>
      </c>
      <c r="M106" s="59" t="s">
        <v>1072</v>
      </c>
      <c r="N106" s="58">
        <f>AVERAGE(249,258)</f>
        <v>253.5</v>
      </c>
      <c r="O106" s="3" t="s">
        <v>1013</v>
      </c>
      <c r="P106" s="74">
        <v>200</v>
      </c>
      <c r="Q106" s="3" t="s">
        <v>1072</v>
      </c>
      <c r="R106" s="41" t="s">
        <v>30</v>
      </c>
      <c r="S106" s="74">
        <v>150</v>
      </c>
      <c r="T106" s="3" t="s">
        <v>1072</v>
      </c>
      <c r="U106" s="59" t="s">
        <v>28</v>
      </c>
    </row>
    <row r="107" spans="1:21" s="17" customFormat="1" ht="12.6" customHeight="1">
      <c r="A107" s="17" t="s">
        <v>137</v>
      </c>
      <c r="B107" s="17" t="s">
        <v>719</v>
      </c>
      <c r="C107" s="3">
        <v>85</v>
      </c>
      <c r="D107" s="3">
        <v>1.8</v>
      </c>
      <c r="E107" s="2">
        <v>136</v>
      </c>
      <c r="F107" s="68" t="s">
        <v>136</v>
      </c>
      <c r="G107" s="68">
        <v>0.85</v>
      </c>
      <c r="H107" s="69">
        <v>0.33</v>
      </c>
      <c r="I107" s="2">
        <v>55</v>
      </c>
      <c r="J107" s="2">
        <v>63</v>
      </c>
      <c r="K107" s="59">
        <v>55</v>
      </c>
      <c r="L107" s="58">
        <f>AVERAGE(334,250,329,280,255,335)</f>
        <v>297.16666666666669</v>
      </c>
      <c r="M107" s="59" t="s">
        <v>1045</v>
      </c>
      <c r="N107" s="58">
        <f>AVERAGE(405,339,438,360,370,400,325)</f>
        <v>376.71428571428572</v>
      </c>
      <c r="O107" s="3" t="s">
        <v>1072</v>
      </c>
      <c r="P107" s="74" t="s">
        <v>16</v>
      </c>
      <c r="Q107" s="3" t="s">
        <v>16</v>
      </c>
      <c r="R107" s="41" t="s">
        <v>16</v>
      </c>
      <c r="S107" s="74" t="s">
        <v>16</v>
      </c>
      <c r="T107" s="3" t="s">
        <v>16</v>
      </c>
      <c r="U107" s="59" t="s">
        <v>16</v>
      </c>
    </row>
    <row r="108" spans="1:21" s="17" customFormat="1" ht="12.6" customHeight="1">
      <c r="A108" s="17" t="s">
        <v>137</v>
      </c>
      <c r="B108" s="17" t="s">
        <v>202</v>
      </c>
      <c r="C108" s="3">
        <v>85</v>
      </c>
      <c r="D108" s="73">
        <v>1.8</v>
      </c>
      <c r="E108" s="2">
        <v>136</v>
      </c>
      <c r="F108" s="68" t="s">
        <v>136</v>
      </c>
      <c r="G108" s="68">
        <v>0.85</v>
      </c>
      <c r="H108" s="69">
        <v>0.34100000000000003</v>
      </c>
      <c r="I108" s="2">
        <v>57</v>
      </c>
      <c r="J108" s="2">
        <v>65</v>
      </c>
      <c r="K108" s="41">
        <v>58</v>
      </c>
      <c r="L108" s="2">
        <f>AVERAGE(320,388,400,279,355,377,335,361)</f>
        <v>351.875</v>
      </c>
      <c r="M108" s="59" t="s">
        <v>1072</v>
      </c>
      <c r="N108" s="2">
        <f>AVERAGE(429,550,448,459,500,478,475,496)</f>
        <v>479.375</v>
      </c>
      <c r="O108" s="3" t="s">
        <v>1072</v>
      </c>
      <c r="P108" s="74">
        <v>572</v>
      </c>
      <c r="Q108" s="3" t="s">
        <v>917</v>
      </c>
      <c r="R108" s="41" t="s">
        <v>30</v>
      </c>
      <c r="S108" s="74">
        <v>575</v>
      </c>
      <c r="T108" s="3" t="s">
        <v>631</v>
      </c>
      <c r="U108" s="59" t="s">
        <v>514</v>
      </c>
    </row>
    <row r="109" spans="1:21" s="17" customFormat="1" ht="12.6" customHeight="1">
      <c r="A109" s="66" t="s">
        <v>137</v>
      </c>
      <c r="B109" s="66" t="s">
        <v>203</v>
      </c>
      <c r="C109" s="3">
        <v>135</v>
      </c>
      <c r="D109" s="73">
        <v>2.5</v>
      </c>
      <c r="E109" s="2">
        <v>216</v>
      </c>
      <c r="F109" s="67" t="s">
        <v>136</v>
      </c>
      <c r="G109" s="68">
        <v>1.5</v>
      </c>
      <c r="H109" s="69">
        <v>0.44400000000000001</v>
      </c>
      <c r="I109" s="2">
        <v>86</v>
      </c>
      <c r="J109" s="2">
        <v>67</v>
      </c>
      <c r="K109" s="2">
        <v>58</v>
      </c>
      <c r="L109" s="58">
        <f>AVERAGE(168,184,156,188,139,189,139,130,149)</f>
        <v>160.22222222222223</v>
      </c>
      <c r="M109" s="3" t="s">
        <v>1072</v>
      </c>
      <c r="N109" s="58">
        <f>AVERAGE(264,203,280,280,255,250,240)</f>
        <v>253.14285714285714</v>
      </c>
      <c r="O109" s="3" t="s">
        <v>1072</v>
      </c>
      <c r="P109" s="58">
        <v>140</v>
      </c>
      <c r="Q109" s="3" t="s">
        <v>981</v>
      </c>
      <c r="R109" s="2" t="s">
        <v>30</v>
      </c>
      <c r="S109" s="58">
        <v>195</v>
      </c>
      <c r="T109" s="3" t="s">
        <v>774</v>
      </c>
      <c r="U109" s="41" t="s">
        <v>29</v>
      </c>
    </row>
    <row r="110" spans="1:21" s="17" customFormat="1" ht="12.6" customHeight="1">
      <c r="A110" s="60" t="s">
        <v>137</v>
      </c>
      <c r="B110" s="60" t="s">
        <v>264</v>
      </c>
      <c r="C110" s="64">
        <v>500</v>
      </c>
      <c r="D110" s="161">
        <v>4.5</v>
      </c>
      <c r="E110" s="27">
        <v>800</v>
      </c>
      <c r="F110" s="65" t="s">
        <v>136</v>
      </c>
      <c r="G110" s="50">
        <v>10</v>
      </c>
      <c r="H110" s="31">
        <v>3.5</v>
      </c>
      <c r="I110" s="27" t="s">
        <v>16</v>
      </c>
      <c r="J110" s="27" t="s">
        <v>16</v>
      </c>
      <c r="K110" s="27">
        <v>46</v>
      </c>
      <c r="L110" s="52">
        <f>AVERAGE(304,395,367,356,365,474)</f>
        <v>376.83333333333331</v>
      </c>
      <c r="M110" s="61" t="s">
        <v>981</v>
      </c>
      <c r="N110" s="52">
        <f>AVERAGE(495,420,500,500,500)</f>
        <v>483</v>
      </c>
      <c r="O110" s="61" t="s">
        <v>1072</v>
      </c>
      <c r="P110" s="52">
        <v>500</v>
      </c>
      <c r="Q110" s="61" t="s">
        <v>1072</v>
      </c>
      <c r="R110" s="27" t="s">
        <v>32</v>
      </c>
      <c r="S110" s="52" t="s">
        <v>16</v>
      </c>
      <c r="T110" s="61" t="s">
        <v>16</v>
      </c>
      <c r="U110" s="43" t="s">
        <v>16</v>
      </c>
    </row>
    <row r="111" spans="1:21" s="17" customFormat="1" ht="12.6" customHeight="1">
      <c r="A111" s="97" t="s">
        <v>411</v>
      </c>
      <c r="B111" s="98"/>
      <c r="C111" s="34"/>
      <c r="D111" s="99"/>
      <c r="E111" s="34"/>
      <c r="F111" s="100" t="s">
        <v>16</v>
      </c>
      <c r="G111" s="101" t="s">
        <v>16</v>
      </c>
      <c r="H111" s="102" t="s">
        <v>16</v>
      </c>
      <c r="I111" s="34" t="s">
        <v>16</v>
      </c>
      <c r="J111" s="34" t="s">
        <v>16</v>
      </c>
      <c r="K111" s="34" t="s">
        <v>16</v>
      </c>
      <c r="L111" s="34" t="s">
        <v>16</v>
      </c>
      <c r="M111" s="34" t="s">
        <v>16</v>
      </c>
      <c r="N111" s="34" t="s">
        <v>16</v>
      </c>
      <c r="O111" s="34" t="s">
        <v>16</v>
      </c>
      <c r="P111" s="34" t="s">
        <v>16</v>
      </c>
      <c r="Q111" s="34" t="s">
        <v>16</v>
      </c>
      <c r="R111" s="34" t="s">
        <v>16</v>
      </c>
      <c r="S111" s="34" t="s">
        <v>16</v>
      </c>
      <c r="T111" s="34" t="s">
        <v>16</v>
      </c>
      <c r="U111" s="34" t="s">
        <v>16</v>
      </c>
    </row>
    <row r="112" spans="1:21" s="17" customFormat="1" ht="12.6" customHeight="1">
      <c r="A112" s="17" t="s">
        <v>137</v>
      </c>
      <c r="B112" s="17" t="s">
        <v>1031</v>
      </c>
      <c r="C112" s="3">
        <v>15</v>
      </c>
      <c r="D112" s="3">
        <v>3.5</v>
      </c>
      <c r="E112" s="2">
        <v>24</v>
      </c>
      <c r="F112" s="68" t="s">
        <v>135</v>
      </c>
      <c r="G112" s="68">
        <v>0.3</v>
      </c>
      <c r="H112" s="69">
        <v>0.55000000000000004</v>
      </c>
      <c r="I112" s="2">
        <v>82</v>
      </c>
      <c r="J112" s="2">
        <v>80</v>
      </c>
      <c r="K112" s="2" t="s">
        <v>105</v>
      </c>
      <c r="L112" s="71">
        <f>AVERAGE(709,620,599)</f>
        <v>642.66666666666663</v>
      </c>
      <c r="M112" s="162" t="s">
        <v>1013</v>
      </c>
      <c r="N112" s="2">
        <f>AVERAGE(945,850,975,933)</f>
        <v>925.75</v>
      </c>
      <c r="O112" s="3" t="s">
        <v>970</v>
      </c>
      <c r="P112" s="58">
        <v>800</v>
      </c>
      <c r="Q112" s="3" t="s">
        <v>1072</v>
      </c>
      <c r="R112" s="2" t="s">
        <v>32</v>
      </c>
      <c r="S112" s="58" t="s">
        <v>16</v>
      </c>
      <c r="T112" s="3" t="s">
        <v>16</v>
      </c>
      <c r="U112" s="41" t="s">
        <v>16</v>
      </c>
    </row>
    <row r="113" spans="1:21" s="17" customFormat="1" ht="12.6" customHeight="1">
      <c r="A113" s="66" t="s">
        <v>137</v>
      </c>
      <c r="B113" s="66" t="s">
        <v>1032</v>
      </c>
      <c r="C113" s="3">
        <v>15</v>
      </c>
      <c r="D113" s="3">
        <v>3.5</v>
      </c>
      <c r="E113" s="2">
        <v>24</v>
      </c>
      <c r="F113" s="67" t="s">
        <v>135</v>
      </c>
      <c r="G113" s="68">
        <v>0.3</v>
      </c>
      <c r="H113" s="69">
        <v>0.6</v>
      </c>
      <c r="I113" s="2">
        <v>82</v>
      </c>
      <c r="J113" s="2">
        <v>80</v>
      </c>
      <c r="K113" s="2">
        <v>1</v>
      </c>
      <c r="L113" s="58">
        <f>AVERAGE(0)</f>
        <v>0</v>
      </c>
      <c r="M113" s="160" t="s">
        <v>16</v>
      </c>
      <c r="N113" s="58">
        <f>AVERAGE(799,795,776,1028,710,600,625,795,1000,750,650)</f>
        <v>775.27272727272725</v>
      </c>
      <c r="O113" s="16" t="s">
        <v>1072</v>
      </c>
      <c r="P113" s="58">
        <v>730</v>
      </c>
      <c r="Q113" s="16" t="s">
        <v>917</v>
      </c>
      <c r="R113" s="2" t="s">
        <v>30</v>
      </c>
      <c r="S113" s="58">
        <v>1000</v>
      </c>
      <c r="T113" s="16" t="s">
        <v>917</v>
      </c>
      <c r="U113" s="41" t="s">
        <v>32</v>
      </c>
    </row>
    <row r="114" spans="1:21" s="17" customFormat="1" ht="12.6" customHeight="1">
      <c r="A114" s="66" t="s">
        <v>137</v>
      </c>
      <c r="B114" s="66" t="s">
        <v>294</v>
      </c>
      <c r="C114" s="3">
        <v>15</v>
      </c>
      <c r="D114" s="3">
        <v>3.5</v>
      </c>
      <c r="E114" s="2">
        <v>24</v>
      </c>
      <c r="F114" s="67" t="s">
        <v>138</v>
      </c>
      <c r="G114" s="68">
        <v>0.3</v>
      </c>
      <c r="H114" s="69">
        <v>0.6</v>
      </c>
      <c r="I114" s="2">
        <v>82</v>
      </c>
      <c r="J114" s="2">
        <v>80</v>
      </c>
      <c r="K114" s="2" t="s">
        <v>105</v>
      </c>
      <c r="L114" s="58">
        <f>AVERAGE(655,600,811)</f>
        <v>688.66666666666663</v>
      </c>
      <c r="M114" s="160" t="s">
        <v>878</v>
      </c>
      <c r="N114" s="58">
        <f>AVERAGE(1001,1195,1100,1330,945,949)</f>
        <v>1086.6666666666667</v>
      </c>
      <c r="O114" s="16" t="s">
        <v>579</v>
      </c>
      <c r="P114" s="58">
        <v>962</v>
      </c>
      <c r="Q114" s="16" t="s">
        <v>917</v>
      </c>
      <c r="R114" s="2" t="s">
        <v>30</v>
      </c>
      <c r="S114" s="58">
        <v>1000</v>
      </c>
      <c r="T114" s="16" t="s">
        <v>491</v>
      </c>
      <c r="U114" s="41" t="s">
        <v>32</v>
      </c>
    </row>
    <row r="115" spans="1:21" s="17" customFormat="1" ht="12.6" customHeight="1">
      <c r="A115" s="66" t="s">
        <v>137</v>
      </c>
      <c r="B115" s="66" t="s">
        <v>397</v>
      </c>
      <c r="C115" s="3">
        <v>16</v>
      </c>
      <c r="D115" s="3">
        <v>2.8</v>
      </c>
      <c r="E115" s="2">
        <v>25.6</v>
      </c>
      <c r="F115" s="67" t="s">
        <v>138</v>
      </c>
      <c r="G115" s="68">
        <v>0.2</v>
      </c>
      <c r="H115" s="69">
        <v>0.32</v>
      </c>
      <c r="I115" s="2">
        <v>56</v>
      </c>
      <c r="J115" s="2">
        <v>65</v>
      </c>
      <c r="K115" s="2" t="s">
        <v>105</v>
      </c>
      <c r="L115" s="58">
        <f>AVERAGE(424,405,279,322)</f>
        <v>357.5</v>
      </c>
      <c r="M115" s="160" t="s">
        <v>1072</v>
      </c>
      <c r="N115" s="58">
        <f>AVERAGE(580,603,600)</f>
        <v>594.33333333333337</v>
      </c>
      <c r="O115" s="16" t="s">
        <v>981</v>
      </c>
      <c r="P115" s="58">
        <v>560</v>
      </c>
      <c r="Q115" s="16" t="s">
        <v>981</v>
      </c>
      <c r="R115" s="2" t="s">
        <v>33</v>
      </c>
      <c r="S115" s="58" t="s">
        <v>16</v>
      </c>
      <c r="T115" s="16" t="s">
        <v>16</v>
      </c>
      <c r="U115" s="41" t="s">
        <v>16</v>
      </c>
    </row>
    <row r="116" spans="1:21" ht="12.6" customHeight="1">
      <c r="A116" s="60" t="s">
        <v>137</v>
      </c>
      <c r="B116" s="60" t="s">
        <v>398</v>
      </c>
      <c r="C116" s="27">
        <v>17</v>
      </c>
      <c r="D116" s="64">
        <v>4</v>
      </c>
      <c r="E116" s="27">
        <v>27.2</v>
      </c>
      <c r="F116" s="62" t="s">
        <v>135</v>
      </c>
      <c r="G116" s="50">
        <v>0.2</v>
      </c>
      <c r="H116" s="31">
        <v>0.23499999999999999</v>
      </c>
      <c r="I116" s="27">
        <v>34</v>
      </c>
      <c r="J116" s="27">
        <v>65</v>
      </c>
      <c r="K116" s="27" t="s">
        <v>105</v>
      </c>
      <c r="L116" s="52">
        <f>AVERAGE(280,270,236,280,280)</f>
        <v>269.2</v>
      </c>
      <c r="M116" s="43" t="s">
        <v>1072</v>
      </c>
      <c r="N116" s="52">
        <f>AVERAGE(320,499,499,450,400)</f>
        <v>433.6</v>
      </c>
      <c r="O116" s="27" t="s">
        <v>1045</v>
      </c>
      <c r="P116" s="52">
        <v>380</v>
      </c>
      <c r="Q116" s="27" t="s">
        <v>816</v>
      </c>
      <c r="R116" s="43" t="s">
        <v>30</v>
      </c>
      <c r="S116" s="52">
        <v>500</v>
      </c>
      <c r="T116" s="27" t="s">
        <v>631</v>
      </c>
      <c r="U116" s="43" t="s">
        <v>514</v>
      </c>
    </row>
    <row r="117" spans="1:21" s="17" customFormat="1" ht="12.6" customHeight="1">
      <c r="A117" s="66" t="s">
        <v>137</v>
      </c>
      <c r="B117" s="66" t="s">
        <v>201</v>
      </c>
      <c r="C117" s="3">
        <v>18</v>
      </c>
      <c r="D117" s="3">
        <v>3.5</v>
      </c>
      <c r="E117" s="2">
        <v>28.8</v>
      </c>
      <c r="F117" s="67" t="s">
        <v>135</v>
      </c>
      <c r="G117" s="68">
        <v>0.25</v>
      </c>
      <c r="H117" s="69">
        <v>0.29499999999999998</v>
      </c>
      <c r="I117" s="2">
        <v>62</v>
      </c>
      <c r="J117" s="2">
        <v>63</v>
      </c>
      <c r="K117" s="2">
        <v>58</v>
      </c>
      <c r="L117" s="58">
        <f>AVERAGE(461,455,455,410)</f>
        <v>445.25</v>
      </c>
      <c r="M117" s="160" t="s">
        <v>1072</v>
      </c>
      <c r="N117" s="58">
        <f>AVERAGE(759)</f>
        <v>759</v>
      </c>
      <c r="O117" s="16" t="s">
        <v>1047</v>
      </c>
      <c r="P117" s="58">
        <v>480</v>
      </c>
      <c r="Q117" s="16" t="s">
        <v>981</v>
      </c>
      <c r="R117" s="2" t="s">
        <v>33</v>
      </c>
      <c r="S117" s="58">
        <v>950</v>
      </c>
      <c r="T117" s="16" t="s">
        <v>772</v>
      </c>
      <c r="U117" s="41" t="s">
        <v>514</v>
      </c>
    </row>
    <row r="118" spans="1:21" s="17" customFormat="1" ht="12.6" customHeight="1">
      <c r="A118" s="17" t="s">
        <v>137</v>
      </c>
      <c r="B118" s="17" t="s">
        <v>248</v>
      </c>
      <c r="C118" s="3">
        <v>20</v>
      </c>
      <c r="D118" s="3">
        <v>2.8</v>
      </c>
      <c r="E118" s="2">
        <v>32</v>
      </c>
      <c r="F118" s="68" t="s">
        <v>138</v>
      </c>
      <c r="G118" s="68">
        <v>0.25</v>
      </c>
      <c r="H118" s="69">
        <v>0.245</v>
      </c>
      <c r="I118" s="2">
        <v>43.5</v>
      </c>
      <c r="J118" s="2">
        <v>70</v>
      </c>
      <c r="K118" s="2">
        <v>67</v>
      </c>
      <c r="L118" s="58">
        <f>AVERAGE(355,443,400,378,375,400,352,430,417,403,481)</f>
        <v>403.09090909090907</v>
      </c>
      <c r="M118" s="59" t="s">
        <v>1027</v>
      </c>
      <c r="N118" s="2">
        <f>AVERAGE(475,484,538,695,650,485,589,696,458,484,550)</f>
        <v>554.90909090909088</v>
      </c>
      <c r="O118" s="59" t="s">
        <v>970</v>
      </c>
      <c r="P118" s="74">
        <v>619</v>
      </c>
      <c r="Q118" s="3" t="s">
        <v>967</v>
      </c>
      <c r="R118" s="41" t="s">
        <v>30</v>
      </c>
      <c r="S118" s="74">
        <v>648</v>
      </c>
      <c r="T118" s="16" t="s">
        <v>981</v>
      </c>
      <c r="U118" s="59" t="s">
        <v>30</v>
      </c>
    </row>
    <row r="119" spans="1:21" s="17" customFormat="1" ht="12.6" customHeight="1">
      <c r="A119" s="17" t="s">
        <v>137</v>
      </c>
      <c r="B119" s="17" t="s">
        <v>727</v>
      </c>
      <c r="C119" s="3">
        <v>20</v>
      </c>
      <c r="D119" s="3">
        <v>4</v>
      </c>
      <c r="E119" s="2">
        <v>32</v>
      </c>
      <c r="F119" s="68" t="s">
        <v>135</v>
      </c>
      <c r="G119" s="68">
        <v>0.25</v>
      </c>
      <c r="H119" s="69">
        <v>0.3</v>
      </c>
      <c r="I119" s="2">
        <v>57</v>
      </c>
      <c r="J119" s="2">
        <v>63</v>
      </c>
      <c r="K119" s="2">
        <v>58</v>
      </c>
      <c r="L119" s="58">
        <f>AVERAGE(220,306,288,375)</f>
        <v>297.25</v>
      </c>
      <c r="M119" s="59" t="s">
        <v>927</v>
      </c>
      <c r="N119" s="2"/>
      <c r="O119" s="3" t="s">
        <v>16</v>
      </c>
      <c r="P119" s="74" t="s">
        <v>16</v>
      </c>
      <c r="Q119" s="3" t="s">
        <v>16</v>
      </c>
      <c r="R119" s="41" t="s">
        <v>16</v>
      </c>
      <c r="S119" s="74">
        <v>600</v>
      </c>
      <c r="T119" s="16" t="s">
        <v>772</v>
      </c>
      <c r="U119" s="59" t="s">
        <v>514</v>
      </c>
    </row>
    <row r="120" spans="1:21" ht="12.6" customHeight="1">
      <c r="A120" s="60" t="s">
        <v>137</v>
      </c>
      <c r="B120" s="60" t="s">
        <v>728</v>
      </c>
      <c r="C120" s="27">
        <v>20</v>
      </c>
      <c r="D120" s="64">
        <v>4</v>
      </c>
      <c r="E120" s="27">
        <v>32</v>
      </c>
      <c r="F120" s="62" t="s">
        <v>135</v>
      </c>
      <c r="G120" s="50">
        <v>0.25</v>
      </c>
      <c r="H120" s="31">
        <v>0.15</v>
      </c>
      <c r="I120" s="27">
        <v>30</v>
      </c>
      <c r="J120" s="27">
        <v>63</v>
      </c>
      <c r="K120" s="27">
        <v>49</v>
      </c>
      <c r="L120" s="52">
        <f>AVERAGE(255,213,269,203,269,285,279,235,244,250)</f>
        <v>250.2</v>
      </c>
      <c r="M120" s="43" t="s">
        <v>1072</v>
      </c>
      <c r="N120" s="52">
        <f>AVERAGE(361,325,347)</f>
        <v>344.33333333333331</v>
      </c>
      <c r="O120" s="27" t="s">
        <v>1047</v>
      </c>
      <c r="P120" s="52">
        <v>395</v>
      </c>
      <c r="Q120" s="27" t="s">
        <v>878</v>
      </c>
      <c r="R120" s="43" t="s">
        <v>514</v>
      </c>
      <c r="S120" s="52">
        <v>525</v>
      </c>
      <c r="T120" s="27" t="s">
        <v>878</v>
      </c>
      <c r="U120" s="43" t="s">
        <v>514</v>
      </c>
    </row>
    <row r="121" spans="1:21" s="17" customFormat="1" ht="12.6" customHeight="1">
      <c r="A121" s="17" t="s">
        <v>137</v>
      </c>
      <c r="B121" s="17" t="s">
        <v>757</v>
      </c>
      <c r="C121" s="3">
        <v>28</v>
      </c>
      <c r="D121" s="3">
        <v>2</v>
      </c>
      <c r="E121" s="2">
        <v>32</v>
      </c>
      <c r="F121" s="68" t="s">
        <v>135</v>
      </c>
      <c r="G121" s="68">
        <v>0.25</v>
      </c>
      <c r="H121" s="3">
        <v>0.42299999999999999</v>
      </c>
      <c r="I121" s="2">
        <v>62.5</v>
      </c>
      <c r="J121" s="2">
        <v>69</v>
      </c>
      <c r="K121" s="3">
        <v>52</v>
      </c>
      <c r="L121" s="58">
        <f>AVERAGE(659,540,500,500)</f>
        <v>549.75</v>
      </c>
      <c r="M121" s="59" t="s">
        <v>1072</v>
      </c>
      <c r="N121" s="58">
        <f>AVERAGE(999,770,771,822,832)</f>
        <v>838.8</v>
      </c>
      <c r="O121" s="3" t="s">
        <v>1013</v>
      </c>
      <c r="P121" s="74">
        <v>429</v>
      </c>
      <c r="Q121" s="3" t="s">
        <v>878</v>
      </c>
      <c r="R121" s="41" t="s">
        <v>30</v>
      </c>
      <c r="S121" s="74" t="s">
        <v>16</v>
      </c>
      <c r="T121" s="16" t="s">
        <v>16</v>
      </c>
      <c r="U121" s="59" t="s">
        <v>16</v>
      </c>
    </row>
    <row r="122" spans="1:21" s="17" customFormat="1" ht="12.6" customHeight="1">
      <c r="A122" s="17" t="s">
        <v>137</v>
      </c>
      <c r="B122" s="17" t="s">
        <v>1041</v>
      </c>
      <c r="C122" s="3">
        <v>28</v>
      </c>
      <c r="D122" s="3">
        <v>2</v>
      </c>
      <c r="E122" s="2">
        <v>32</v>
      </c>
      <c r="F122" s="68" t="s">
        <v>135</v>
      </c>
      <c r="G122" s="68">
        <v>0.3</v>
      </c>
      <c r="H122" s="3">
        <v>0.215</v>
      </c>
      <c r="I122" s="2">
        <v>42</v>
      </c>
      <c r="J122" s="2">
        <v>63</v>
      </c>
      <c r="K122" s="3">
        <v>49</v>
      </c>
      <c r="L122" s="58">
        <f>AVERAGE(318)</f>
        <v>318</v>
      </c>
      <c r="M122" s="59" t="s">
        <v>1045</v>
      </c>
      <c r="N122" s="58">
        <f>AVERAGE(339,318,339,348,350)</f>
        <v>338.8</v>
      </c>
      <c r="O122" s="3" t="s">
        <v>1047</v>
      </c>
      <c r="P122" s="74">
        <v>420</v>
      </c>
      <c r="Q122" s="3" t="s">
        <v>1072</v>
      </c>
      <c r="R122" s="41" t="s">
        <v>30</v>
      </c>
      <c r="S122" s="74" t="s">
        <v>16</v>
      </c>
      <c r="T122" s="16" t="s">
        <v>16</v>
      </c>
      <c r="U122" s="59" t="s">
        <v>16</v>
      </c>
    </row>
    <row r="123" spans="1:21" s="17" customFormat="1" ht="12.6" customHeight="1">
      <c r="A123" s="17" t="s">
        <v>137</v>
      </c>
      <c r="B123" s="17" t="s">
        <v>249</v>
      </c>
      <c r="C123" s="3">
        <v>28</v>
      </c>
      <c r="D123" s="3">
        <v>3.5</v>
      </c>
      <c r="E123" s="2">
        <v>44.8</v>
      </c>
      <c r="F123" s="68" t="s">
        <v>135</v>
      </c>
      <c r="G123" s="68">
        <v>0.3</v>
      </c>
      <c r="H123" s="3">
        <v>0.61099999999999999</v>
      </c>
      <c r="I123" s="2">
        <v>93</v>
      </c>
      <c r="J123" s="2">
        <v>80</v>
      </c>
      <c r="K123" s="3" t="s">
        <v>143</v>
      </c>
      <c r="L123" s="58">
        <f>AVERAGE(312,356,454,307,513,450,425,450,374)</f>
        <v>404.55555555555554</v>
      </c>
      <c r="M123" s="59" t="s">
        <v>1072</v>
      </c>
      <c r="N123" s="58">
        <f>AVERAGE(544,650,529,500,565,600)</f>
        <v>564.66666666666663</v>
      </c>
      <c r="O123" s="3" t="s">
        <v>1072</v>
      </c>
      <c r="P123" s="74" t="s">
        <v>16</v>
      </c>
      <c r="Q123" s="3" t="s">
        <v>16</v>
      </c>
      <c r="R123" s="41" t="s">
        <v>16</v>
      </c>
      <c r="S123" s="74">
        <v>835</v>
      </c>
      <c r="T123" s="16" t="s">
        <v>1072</v>
      </c>
      <c r="U123" s="59" t="s">
        <v>32</v>
      </c>
    </row>
    <row r="124" spans="1:21" s="17" customFormat="1" ht="12.6" customHeight="1">
      <c r="A124" s="66" t="s">
        <v>137</v>
      </c>
      <c r="B124" s="66" t="s">
        <v>938</v>
      </c>
      <c r="C124" s="3">
        <v>28</v>
      </c>
      <c r="D124" s="3">
        <v>3.5</v>
      </c>
      <c r="E124" s="2">
        <v>44.800000000000004</v>
      </c>
      <c r="F124" s="67" t="s">
        <v>135</v>
      </c>
      <c r="G124" s="68">
        <v>0.3</v>
      </c>
      <c r="H124" s="69">
        <v>0.26100000000000001</v>
      </c>
      <c r="I124" s="2">
        <v>63</v>
      </c>
      <c r="J124" s="2">
        <v>47</v>
      </c>
      <c r="K124" s="2">
        <v>52</v>
      </c>
      <c r="L124" s="58">
        <f>AVERAGE(120,128,129,125,120,110,75,100,125)</f>
        <v>114.66666666666667</v>
      </c>
      <c r="M124" s="16" t="s">
        <v>1072</v>
      </c>
      <c r="N124" s="58">
        <f>AVERAGE(149,141,140,155,155,134,154,160,145)</f>
        <v>148.11111111111111</v>
      </c>
      <c r="O124" s="16" t="s">
        <v>1072</v>
      </c>
      <c r="P124" s="58" t="s">
        <v>16</v>
      </c>
      <c r="Q124" s="16" t="s">
        <v>16</v>
      </c>
      <c r="R124" s="2" t="s">
        <v>16</v>
      </c>
      <c r="S124" s="58">
        <v>330</v>
      </c>
      <c r="T124" s="16" t="s">
        <v>981</v>
      </c>
      <c r="U124" s="41" t="s">
        <v>32</v>
      </c>
    </row>
    <row r="125" spans="1:21" ht="12.6" customHeight="1">
      <c r="A125" s="60" t="s">
        <v>137</v>
      </c>
      <c r="B125" s="60" t="s">
        <v>941</v>
      </c>
      <c r="C125" s="27">
        <v>35</v>
      </c>
      <c r="D125" s="64">
        <v>3.5</v>
      </c>
      <c r="E125" s="27">
        <v>56</v>
      </c>
      <c r="F125" s="62" t="s">
        <v>135</v>
      </c>
      <c r="G125" s="50">
        <v>0.35</v>
      </c>
      <c r="H125" s="31">
        <v>0.161</v>
      </c>
      <c r="I125" s="27">
        <v>63</v>
      </c>
      <c r="J125" s="27">
        <v>36</v>
      </c>
      <c r="K125" s="27">
        <v>52</v>
      </c>
      <c r="L125" s="52">
        <f>AVERAGE(129,135,125,129,132)</f>
        <v>130</v>
      </c>
      <c r="M125" s="43" t="s">
        <v>1072</v>
      </c>
      <c r="N125" s="52">
        <f>AVERAGE(168,160,140,135)</f>
        <v>150.75</v>
      </c>
      <c r="O125" s="43" t="s">
        <v>970</v>
      </c>
      <c r="P125" s="27" t="s">
        <v>16</v>
      </c>
      <c r="Q125" s="27" t="s">
        <v>16</v>
      </c>
      <c r="R125" s="43" t="s">
        <v>16</v>
      </c>
      <c r="S125" s="52">
        <v>295</v>
      </c>
      <c r="T125" s="27" t="s">
        <v>939</v>
      </c>
      <c r="U125" s="43" t="s">
        <v>940</v>
      </c>
    </row>
    <row r="126" spans="1:21" s="17" customFormat="1" ht="12.6" customHeight="1">
      <c r="A126" s="66" t="s">
        <v>137</v>
      </c>
      <c r="B126" s="66" t="s">
        <v>250</v>
      </c>
      <c r="C126" s="3">
        <v>50</v>
      </c>
      <c r="D126" s="3">
        <v>1.2</v>
      </c>
      <c r="E126" s="2">
        <v>80</v>
      </c>
      <c r="F126" s="67" t="s">
        <v>135</v>
      </c>
      <c r="G126" s="68">
        <v>0.45</v>
      </c>
      <c r="H126" s="69">
        <v>0.38500000000000001</v>
      </c>
      <c r="I126" s="2">
        <v>49</v>
      </c>
      <c r="J126" s="2">
        <v>65</v>
      </c>
      <c r="K126" s="2">
        <v>52</v>
      </c>
      <c r="L126" s="58">
        <f>AVERAGE(311,324,300,350,368,369,332,349)</f>
        <v>337.875</v>
      </c>
      <c r="M126" s="16" t="s">
        <v>1072</v>
      </c>
      <c r="N126" s="58">
        <f>AVERAGE(387,420,429,425,405,479,420,380,480,429,432)</f>
        <v>426</v>
      </c>
      <c r="O126" s="16" t="s">
        <v>967</v>
      </c>
      <c r="P126" s="58">
        <v>400</v>
      </c>
      <c r="Q126" s="16" t="s">
        <v>981</v>
      </c>
      <c r="R126" s="2" t="s">
        <v>30</v>
      </c>
      <c r="S126" s="58">
        <v>600</v>
      </c>
      <c r="T126" s="16" t="s">
        <v>831</v>
      </c>
      <c r="U126" s="41" t="s">
        <v>32</v>
      </c>
    </row>
    <row r="127" spans="1:21" s="17" customFormat="1" ht="12.6" customHeight="1">
      <c r="A127" s="66" t="s">
        <v>137</v>
      </c>
      <c r="B127" s="66" t="s">
        <v>251</v>
      </c>
      <c r="C127" s="3">
        <v>50</v>
      </c>
      <c r="D127" s="3">
        <v>1.2</v>
      </c>
      <c r="E127" s="2">
        <v>80</v>
      </c>
      <c r="F127" s="67" t="s">
        <v>138</v>
      </c>
      <c r="G127" s="68">
        <v>0.45</v>
      </c>
      <c r="H127" s="69">
        <v>0.34499999999999997</v>
      </c>
      <c r="I127" s="2">
        <v>49</v>
      </c>
      <c r="J127" s="2">
        <v>65</v>
      </c>
      <c r="K127" s="2">
        <v>52</v>
      </c>
      <c r="L127" s="58">
        <f>AVERAGE(310,439,390,405,400,425,480,500,495,487,450,406)</f>
        <v>432.25</v>
      </c>
      <c r="M127" s="16" t="s">
        <v>927</v>
      </c>
      <c r="N127" s="58">
        <f>AVERAGE(597,599,610,500,650,575,600,580)</f>
        <v>588.875</v>
      </c>
      <c r="O127" s="16" t="s">
        <v>1072</v>
      </c>
      <c r="P127" s="58">
        <f>699*CA.US</f>
        <v>489.29999999999995</v>
      </c>
      <c r="Q127" s="16" t="s">
        <v>1045</v>
      </c>
      <c r="R127" s="2" t="s">
        <v>758</v>
      </c>
      <c r="S127" s="58" t="s">
        <v>16</v>
      </c>
      <c r="T127" s="16" t="s">
        <v>16</v>
      </c>
      <c r="U127" s="41" t="s">
        <v>16</v>
      </c>
    </row>
    <row r="128" spans="1:21" s="17" customFormat="1" ht="12.6" customHeight="1">
      <c r="A128" s="66" t="s">
        <v>137</v>
      </c>
      <c r="B128" s="66" t="s">
        <v>252</v>
      </c>
      <c r="C128" s="3">
        <v>50</v>
      </c>
      <c r="D128" s="3">
        <v>1.4</v>
      </c>
      <c r="E128" s="2">
        <v>80</v>
      </c>
      <c r="F128" s="67" t="s">
        <v>138</v>
      </c>
      <c r="G128" s="68">
        <v>0.45</v>
      </c>
      <c r="H128" s="69">
        <v>0.26500000000000001</v>
      </c>
      <c r="I128" s="2">
        <v>37</v>
      </c>
      <c r="J128" s="2">
        <v>63</v>
      </c>
      <c r="K128" s="2">
        <v>49</v>
      </c>
      <c r="L128" s="58">
        <f>AVERAGE(101,110,115,103,133,120,123,107)</f>
        <v>114</v>
      </c>
      <c r="M128" s="16" t="s">
        <v>1045</v>
      </c>
      <c r="N128" s="58">
        <f>AVERAGE(185,148,140,156,140,155,153,163,155)</f>
        <v>155</v>
      </c>
      <c r="O128" s="16" t="s">
        <v>1072</v>
      </c>
      <c r="P128" s="58">
        <v>160</v>
      </c>
      <c r="Q128" s="16" t="s">
        <v>878</v>
      </c>
      <c r="R128" s="2" t="s">
        <v>30</v>
      </c>
      <c r="S128" s="58">
        <v>100</v>
      </c>
      <c r="T128" s="16" t="s">
        <v>1072</v>
      </c>
      <c r="U128" s="41" t="s">
        <v>28</v>
      </c>
    </row>
    <row r="129" spans="1:21" s="17" customFormat="1" ht="12.6" customHeight="1">
      <c r="A129" s="66" t="s">
        <v>137</v>
      </c>
      <c r="B129" s="66" t="s">
        <v>683</v>
      </c>
      <c r="C129" s="3">
        <v>50</v>
      </c>
      <c r="D129" s="3">
        <v>2.8</v>
      </c>
      <c r="E129" s="2">
        <v>80</v>
      </c>
      <c r="F129" s="67" t="s">
        <v>138</v>
      </c>
      <c r="G129" s="68">
        <v>0.24</v>
      </c>
      <c r="H129" s="69">
        <v>0.22</v>
      </c>
      <c r="I129" s="2">
        <v>50</v>
      </c>
      <c r="J129" s="2">
        <v>63</v>
      </c>
      <c r="K129" s="2">
        <v>49</v>
      </c>
      <c r="L129" s="58">
        <f>AVERAGE(154,140,125,158,125,150,159,175,149)</f>
        <v>148.33333333333334</v>
      </c>
      <c r="M129" s="16" t="s">
        <v>1072</v>
      </c>
      <c r="N129" s="58">
        <f>AVERAGE(169,,195,199,230,209,210,224)</f>
        <v>179.5</v>
      </c>
      <c r="O129" s="16" t="s">
        <v>973</v>
      </c>
      <c r="P129" s="58">
        <v>248</v>
      </c>
      <c r="Q129" s="16" t="s">
        <v>981</v>
      </c>
      <c r="R129" s="2" t="s">
        <v>30</v>
      </c>
      <c r="S129" s="58">
        <v>290</v>
      </c>
      <c r="T129" s="16" t="s">
        <v>973</v>
      </c>
      <c r="U129" s="41" t="s">
        <v>32</v>
      </c>
    </row>
    <row r="130" spans="1:21" ht="12.6" customHeight="1">
      <c r="A130" s="60" t="s">
        <v>137</v>
      </c>
      <c r="B130" s="60" t="s">
        <v>993</v>
      </c>
      <c r="C130" s="27">
        <v>50</v>
      </c>
      <c r="D130" s="64">
        <v>2.8</v>
      </c>
      <c r="E130" s="27">
        <v>80</v>
      </c>
      <c r="F130" s="62" t="s">
        <v>893</v>
      </c>
      <c r="G130" s="50">
        <v>0.19</v>
      </c>
      <c r="H130" s="31">
        <v>0.38500000000000001</v>
      </c>
      <c r="I130" s="27">
        <v>70</v>
      </c>
      <c r="J130" s="27">
        <v>68</v>
      </c>
      <c r="K130" s="27">
        <v>52</v>
      </c>
      <c r="L130" s="52">
        <f>AVERAGE(159,179,219,163,215,219,220,218,190)</f>
        <v>198</v>
      </c>
      <c r="M130" s="43" t="s">
        <v>1072</v>
      </c>
      <c r="N130" s="52">
        <f>AVERAGE(387,256,255)</f>
        <v>299.33333333333331</v>
      </c>
      <c r="O130" s="43" t="s">
        <v>1072</v>
      </c>
      <c r="P130" s="52" t="s">
        <v>16</v>
      </c>
      <c r="Q130" s="27" t="s">
        <v>16</v>
      </c>
      <c r="R130" s="43" t="s">
        <v>16</v>
      </c>
      <c r="S130" s="52" t="s">
        <v>16</v>
      </c>
      <c r="T130" s="27" t="s">
        <v>16</v>
      </c>
      <c r="U130" s="43" t="s">
        <v>16</v>
      </c>
    </row>
    <row r="131" spans="1:21" s="17" customFormat="1" ht="12.6" customHeight="1">
      <c r="A131" s="66" t="s">
        <v>137</v>
      </c>
      <c r="B131" s="66" t="s">
        <v>547</v>
      </c>
      <c r="C131" s="3">
        <v>85</v>
      </c>
      <c r="D131" s="3">
        <v>1.4</v>
      </c>
      <c r="E131" s="2">
        <v>136</v>
      </c>
      <c r="F131" s="67" t="s">
        <v>138</v>
      </c>
      <c r="G131" s="68">
        <v>0.85</v>
      </c>
      <c r="H131" s="69">
        <v>0.55500000000000005</v>
      </c>
      <c r="I131" s="2">
        <v>66</v>
      </c>
      <c r="J131" s="2">
        <v>74</v>
      </c>
      <c r="K131" s="3">
        <v>67</v>
      </c>
      <c r="L131" s="58">
        <f>AVERAGE(930,895,1150,1150,835,855,900,1139,1150,1140,1001)</f>
        <v>1013.1818181818181</v>
      </c>
      <c r="M131" s="16" t="s">
        <v>1033</v>
      </c>
      <c r="N131" s="58">
        <f>AVERAGE(1180,1089,1225,1300,1235,1098,1200,1200,1149,1100)</f>
        <v>1177.5999999999999</v>
      </c>
      <c r="O131" s="3" t="s">
        <v>1072</v>
      </c>
      <c r="P131" s="58">
        <v>1170</v>
      </c>
      <c r="Q131" s="16" t="s">
        <v>772</v>
      </c>
      <c r="R131" s="2" t="s">
        <v>33</v>
      </c>
      <c r="S131" s="58" t="s">
        <v>16</v>
      </c>
      <c r="T131" s="16" t="s">
        <v>16</v>
      </c>
      <c r="U131" s="41" t="s">
        <v>16</v>
      </c>
    </row>
    <row r="132" spans="1:21" s="17" customFormat="1" ht="12.6" customHeight="1">
      <c r="A132" s="66" t="s">
        <v>137</v>
      </c>
      <c r="B132" s="66" t="s">
        <v>253</v>
      </c>
      <c r="C132" s="3">
        <v>85</v>
      </c>
      <c r="D132" s="3">
        <v>1.8</v>
      </c>
      <c r="E132" s="2">
        <v>136</v>
      </c>
      <c r="F132" s="67" t="s">
        <v>135</v>
      </c>
      <c r="G132" s="68">
        <v>0.85</v>
      </c>
      <c r="H132" s="69">
        <v>0.33100000000000002</v>
      </c>
      <c r="I132" s="2">
        <v>56</v>
      </c>
      <c r="J132" s="2">
        <v>64</v>
      </c>
      <c r="K132" s="2">
        <v>52</v>
      </c>
      <c r="L132" s="58">
        <f>AVERAGE(306,315,379,356,335,417,419,406,340)</f>
        <v>363.66666666666669</v>
      </c>
      <c r="M132" s="16" t="s">
        <v>1072</v>
      </c>
      <c r="N132" s="58">
        <f>AVERAGE(399,400,578,490,405,489,424,420,455,512)</f>
        <v>457.2</v>
      </c>
      <c r="O132" s="16" t="s">
        <v>1072</v>
      </c>
      <c r="P132" s="58">
        <v>569</v>
      </c>
      <c r="Q132" s="16" t="s">
        <v>878</v>
      </c>
      <c r="R132" s="2" t="s">
        <v>30</v>
      </c>
      <c r="S132" s="58">
        <v>850</v>
      </c>
      <c r="T132" s="16" t="s">
        <v>772</v>
      </c>
      <c r="U132" s="41" t="s">
        <v>514</v>
      </c>
    </row>
    <row r="133" spans="1:21" ht="12.6" customHeight="1">
      <c r="A133" s="60" t="s">
        <v>137</v>
      </c>
      <c r="B133" s="60" t="s">
        <v>460</v>
      </c>
      <c r="C133" s="27">
        <v>85</v>
      </c>
      <c r="D133" s="64">
        <v>2.2000000000000002</v>
      </c>
      <c r="E133" s="27">
        <v>136</v>
      </c>
      <c r="F133" s="62" t="s">
        <v>135</v>
      </c>
      <c r="G133" s="50">
        <v>0.56999999999999995</v>
      </c>
      <c r="H133" s="31">
        <v>0.23499999999999999</v>
      </c>
      <c r="I133" s="27">
        <v>72</v>
      </c>
      <c r="J133" s="27">
        <v>52</v>
      </c>
      <c r="K133" s="27">
        <v>49</v>
      </c>
      <c r="L133" s="52">
        <f>AVERAGE(167,195,167,190,278,239)</f>
        <v>206</v>
      </c>
      <c r="M133" s="43" t="s">
        <v>1072</v>
      </c>
      <c r="N133" s="52">
        <f>AVERAGE(260,338,310,345,300)</f>
        <v>310.60000000000002</v>
      </c>
      <c r="O133" s="43" t="s">
        <v>1072</v>
      </c>
      <c r="P133" s="27">
        <v>280</v>
      </c>
      <c r="Q133" s="27" t="s">
        <v>1072</v>
      </c>
      <c r="R133" s="43" t="s">
        <v>30</v>
      </c>
      <c r="S133" s="52">
        <v>313</v>
      </c>
      <c r="T133" s="27" t="s">
        <v>1072</v>
      </c>
      <c r="U133" s="43" t="s">
        <v>30</v>
      </c>
    </row>
    <row r="134" spans="1:21" s="17" customFormat="1" ht="12.6" customHeight="1">
      <c r="A134" s="66" t="s">
        <v>137</v>
      </c>
      <c r="B134" s="66" t="s">
        <v>1030</v>
      </c>
      <c r="C134" s="3">
        <v>100</v>
      </c>
      <c r="D134" s="3">
        <v>2.8</v>
      </c>
      <c r="E134" s="2">
        <v>160</v>
      </c>
      <c r="F134" s="67" t="s">
        <v>138</v>
      </c>
      <c r="G134" s="68">
        <v>0.31</v>
      </c>
      <c r="H134" s="69">
        <v>0.47</v>
      </c>
      <c r="I134" s="2">
        <v>93</v>
      </c>
      <c r="J134" s="2">
        <v>74</v>
      </c>
      <c r="K134" s="2">
        <v>58</v>
      </c>
      <c r="L134" s="58">
        <f>AVERAGE(465,500,312,528,489,689,450,660,566)</f>
        <v>517.66666666666663</v>
      </c>
      <c r="M134" s="16" t="s">
        <v>1033</v>
      </c>
      <c r="N134" s="58">
        <f>AVERAGE(730,852,695,711,760)</f>
        <v>749.6</v>
      </c>
      <c r="O134" s="16" t="s">
        <v>1033</v>
      </c>
      <c r="P134" s="58">
        <f>400*CA.US</f>
        <v>280</v>
      </c>
      <c r="Q134" s="16" t="s">
        <v>1010</v>
      </c>
      <c r="R134" s="2" t="s">
        <v>758</v>
      </c>
      <c r="S134" s="58">
        <v>475</v>
      </c>
      <c r="T134" s="16" t="s">
        <v>967</v>
      </c>
      <c r="U134" s="41" t="s">
        <v>28</v>
      </c>
    </row>
    <row r="135" spans="1:21" s="17" customFormat="1" ht="12.6" customHeight="1">
      <c r="A135" s="66" t="s">
        <v>137</v>
      </c>
      <c r="B135" s="66" t="s">
        <v>942</v>
      </c>
      <c r="C135" s="3">
        <v>100</v>
      </c>
      <c r="D135" s="3">
        <v>4</v>
      </c>
      <c r="E135" s="2">
        <v>160</v>
      </c>
      <c r="F135" s="67" t="s">
        <v>135</v>
      </c>
      <c r="G135" s="68">
        <v>0.45</v>
      </c>
      <c r="H135" s="69">
        <v>0.36</v>
      </c>
      <c r="I135" s="2">
        <v>78</v>
      </c>
      <c r="J135" s="2">
        <v>65</v>
      </c>
      <c r="K135" s="2">
        <v>49</v>
      </c>
      <c r="L135" s="58">
        <f>AVERAGE(120,129,110,101,126,130,117,134,126)</f>
        <v>121.44444444444444</v>
      </c>
      <c r="M135" s="16" t="s">
        <v>1072</v>
      </c>
      <c r="N135" s="58">
        <f>AVERAGE(189,179,195,130,225,128,195,234,177,150)</f>
        <v>180.2</v>
      </c>
      <c r="O135" s="16" t="s">
        <v>1013</v>
      </c>
      <c r="P135" s="58">
        <v>200</v>
      </c>
      <c r="Q135" s="16" t="s">
        <v>1072</v>
      </c>
      <c r="R135" s="2" t="s">
        <v>32</v>
      </c>
      <c r="S135" s="58" t="s">
        <v>16</v>
      </c>
      <c r="T135" s="16" t="s">
        <v>16</v>
      </c>
      <c r="U135" s="41" t="s">
        <v>16</v>
      </c>
    </row>
    <row r="136" spans="1:21" s="17" customFormat="1" ht="12.6" customHeight="1">
      <c r="A136" s="66" t="s">
        <v>137</v>
      </c>
      <c r="B136" s="66" t="s">
        <v>548</v>
      </c>
      <c r="C136" s="3">
        <v>135</v>
      </c>
      <c r="D136" s="3">
        <v>1.8</v>
      </c>
      <c r="E136" s="2">
        <v>216</v>
      </c>
      <c r="F136" s="67" t="s">
        <v>138</v>
      </c>
      <c r="G136" s="68">
        <v>1.2</v>
      </c>
      <c r="H136" s="69">
        <v>0.86499999999999999</v>
      </c>
      <c r="I136" s="2">
        <v>98</v>
      </c>
      <c r="J136" s="2">
        <v>80</v>
      </c>
      <c r="K136" s="3">
        <v>77</v>
      </c>
      <c r="L136" s="58">
        <f>AVERAGE(1998,1998,1998,2222)</f>
        <v>2054</v>
      </c>
      <c r="M136" s="16" t="s">
        <v>1045</v>
      </c>
      <c r="N136" s="58">
        <f>AVERAGE(2999,2950,2260,3159)</f>
        <v>2842</v>
      </c>
      <c r="O136" s="3" t="s">
        <v>890</v>
      </c>
      <c r="P136" s="58">
        <v>2570</v>
      </c>
      <c r="Q136" s="16" t="s">
        <v>832</v>
      </c>
      <c r="R136" s="2" t="s">
        <v>30</v>
      </c>
      <c r="S136" s="58" t="s">
        <v>16</v>
      </c>
      <c r="T136" s="16" t="s">
        <v>16</v>
      </c>
      <c r="U136" s="41" t="s">
        <v>16</v>
      </c>
    </row>
    <row r="137" spans="1:21" s="17" customFormat="1" ht="12.6" customHeight="1">
      <c r="A137" s="66" t="s">
        <v>137</v>
      </c>
      <c r="B137" s="66" t="s">
        <v>254</v>
      </c>
      <c r="C137" s="3">
        <v>135</v>
      </c>
      <c r="D137" s="3">
        <v>2.5</v>
      </c>
      <c r="E137" s="2">
        <v>216</v>
      </c>
      <c r="F137" s="67" t="s">
        <v>135</v>
      </c>
      <c r="G137" s="68">
        <v>1.5</v>
      </c>
      <c r="H137" s="69">
        <v>0.5</v>
      </c>
      <c r="I137" s="2">
        <v>86</v>
      </c>
      <c r="J137" s="2">
        <v>68</v>
      </c>
      <c r="K137" s="2">
        <v>58</v>
      </c>
      <c r="L137" s="58">
        <f>AVERAGE(156,160,148,235,165,150,183,160)</f>
        <v>169.625</v>
      </c>
      <c r="M137" s="16" t="s">
        <v>1072</v>
      </c>
      <c r="N137" s="58">
        <f>AVERAGE(184,189,255,295,241,305,325,310)</f>
        <v>263</v>
      </c>
      <c r="O137" s="16" t="s">
        <v>1047</v>
      </c>
      <c r="P137" s="58">
        <f>129*CA.US</f>
        <v>90.3</v>
      </c>
      <c r="Q137" s="16" t="s">
        <v>981</v>
      </c>
      <c r="R137" s="2" t="s">
        <v>758</v>
      </c>
      <c r="S137" s="58">
        <v>130</v>
      </c>
      <c r="T137" s="16" t="s">
        <v>981</v>
      </c>
      <c r="U137" s="41" t="s">
        <v>32</v>
      </c>
    </row>
    <row r="138" spans="1:21" ht="12.6" customHeight="1">
      <c r="A138" s="60" t="s">
        <v>137</v>
      </c>
      <c r="B138" s="60" t="s">
        <v>255</v>
      </c>
      <c r="C138" s="27">
        <v>135</v>
      </c>
      <c r="D138" s="64">
        <v>3.5</v>
      </c>
      <c r="E138" s="27">
        <v>216</v>
      </c>
      <c r="F138" s="62" t="s">
        <v>135</v>
      </c>
      <c r="G138" s="50">
        <v>1.5</v>
      </c>
      <c r="H138" s="31">
        <v>0.27</v>
      </c>
      <c r="I138" s="27">
        <v>66</v>
      </c>
      <c r="J138" s="27">
        <v>63</v>
      </c>
      <c r="K138" s="27">
        <v>49</v>
      </c>
      <c r="L138" s="52">
        <f>AVERAGE(47,47,63,55,46,50)</f>
        <v>51.333333333333336</v>
      </c>
      <c r="M138" s="43" t="s">
        <v>631</v>
      </c>
      <c r="N138" s="52">
        <f>AVERAGE(139,109,125)</f>
        <v>124.33333333333333</v>
      </c>
      <c r="O138" s="27" t="s">
        <v>1072</v>
      </c>
      <c r="P138" s="52">
        <v>80</v>
      </c>
      <c r="Q138" s="27" t="s">
        <v>1072</v>
      </c>
      <c r="R138" s="43" t="s">
        <v>32</v>
      </c>
      <c r="S138" s="52" t="s">
        <v>16</v>
      </c>
      <c r="T138" s="27" t="s">
        <v>16</v>
      </c>
      <c r="U138" s="43" t="s">
        <v>16</v>
      </c>
    </row>
    <row r="139" spans="1:21" s="17" customFormat="1" ht="12.6" customHeight="1">
      <c r="A139" s="66" t="s">
        <v>137</v>
      </c>
      <c r="B139" s="66" t="s">
        <v>256</v>
      </c>
      <c r="C139" s="3">
        <v>200</v>
      </c>
      <c r="D139" s="3">
        <v>2.5</v>
      </c>
      <c r="E139" s="2">
        <v>320</v>
      </c>
      <c r="F139" s="67" t="s">
        <v>135</v>
      </c>
      <c r="G139" s="68">
        <v>2</v>
      </c>
      <c r="H139" s="69">
        <v>0.95</v>
      </c>
      <c r="I139" s="2">
        <v>145</v>
      </c>
      <c r="J139" s="2">
        <v>89</v>
      </c>
      <c r="K139" s="2">
        <v>77</v>
      </c>
      <c r="L139" s="58">
        <f>AVERAGE(409,300,350,256,350,489,325,400,399,407,400)</f>
        <v>371.36363636363637</v>
      </c>
      <c r="M139" s="16" t="s">
        <v>1072</v>
      </c>
      <c r="N139" s="58">
        <f>AVERAGE(459,663,500,499)</f>
        <v>530.25</v>
      </c>
      <c r="O139" s="16" t="s">
        <v>1072</v>
      </c>
      <c r="P139" s="71">
        <v>450</v>
      </c>
      <c r="Q139" s="115" t="s">
        <v>981</v>
      </c>
      <c r="R139" s="72" t="s">
        <v>32</v>
      </c>
      <c r="S139" s="58">
        <v>795</v>
      </c>
      <c r="T139" s="16" t="s">
        <v>631</v>
      </c>
      <c r="U139" s="41" t="s">
        <v>514</v>
      </c>
    </row>
    <row r="140" spans="1:21" s="17" customFormat="1" ht="12.6" customHeight="1">
      <c r="A140" s="66" t="s">
        <v>137</v>
      </c>
      <c r="B140" s="66" t="s">
        <v>257</v>
      </c>
      <c r="C140" s="3">
        <v>200</v>
      </c>
      <c r="D140" s="3">
        <v>2.8</v>
      </c>
      <c r="E140" s="2">
        <v>320</v>
      </c>
      <c r="F140" s="67" t="s">
        <v>138</v>
      </c>
      <c r="G140" s="68">
        <v>1.8</v>
      </c>
      <c r="H140" s="69">
        <v>0.85</v>
      </c>
      <c r="I140" s="2">
        <v>138</v>
      </c>
      <c r="J140" s="2">
        <v>91</v>
      </c>
      <c r="K140" s="2">
        <v>77</v>
      </c>
      <c r="L140" s="58">
        <f>AVERAGE(589,590,608,635,638,740,638,750,768)</f>
        <v>661.77777777777783</v>
      </c>
      <c r="M140" s="160" t="s">
        <v>1045</v>
      </c>
      <c r="N140" s="58">
        <f>AVERAGE(989,950,750,813)</f>
        <v>875.5</v>
      </c>
      <c r="O140" s="16" t="s">
        <v>904</v>
      </c>
      <c r="P140" s="58" t="s">
        <v>16</v>
      </c>
      <c r="Q140" s="16" t="s">
        <v>16</v>
      </c>
      <c r="R140" s="41" t="s">
        <v>16</v>
      </c>
      <c r="S140" s="58" t="s">
        <v>16</v>
      </c>
      <c r="T140" s="16" t="s">
        <v>16</v>
      </c>
      <c r="U140" s="41" t="s">
        <v>16</v>
      </c>
    </row>
    <row r="141" spans="1:21" s="17" customFormat="1" ht="12.6" customHeight="1">
      <c r="A141" s="66" t="s">
        <v>137</v>
      </c>
      <c r="B141" s="66" t="s">
        <v>258</v>
      </c>
      <c r="C141" s="3">
        <v>200</v>
      </c>
      <c r="D141" s="3">
        <v>4</v>
      </c>
      <c r="E141" s="2">
        <v>320</v>
      </c>
      <c r="F141" s="67" t="s">
        <v>138</v>
      </c>
      <c r="G141" s="68">
        <v>0.55000000000000004</v>
      </c>
      <c r="H141" s="69">
        <v>0.89500000000000002</v>
      </c>
      <c r="I141" s="2">
        <v>145</v>
      </c>
      <c r="J141" s="2">
        <v>71</v>
      </c>
      <c r="K141" s="3">
        <v>58</v>
      </c>
      <c r="L141" s="58">
        <f>AVERAGE(2049,2000,2198,2299,2200,1899,2299,2050)</f>
        <v>2124.25</v>
      </c>
      <c r="M141" s="16" t="s">
        <v>1072</v>
      </c>
      <c r="N141" s="58">
        <f>AVERAGE(2000,2299,2299,2388,2500,2564,2913,2659,2299,2295,2225,2400)</f>
        <v>2403.4166666666665</v>
      </c>
      <c r="O141" s="3" t="s">
        <v>1072</v>
      </c>
      <c r="P141" s="58" t="s">
        <v>16</v>
      </c>
      <c r="Q141" s="16" t="s">
        <v>16</v>
      </c>
      <c r="R141" s="2" t="s">
        <v>16</v>
      </c>
      <c r="S141" s="58" t="s">
        <v>16</v>
      </c>
      <c r="T141" s="16" t="s">
        <v>16</v>
      </c>
      <c r="U141" s="41" t="s">
        <v>16</v>
      </c>
    </row>
    <row r="142" spans="1:21" s="17" customFormat="1" ht="12.6" customHeight="1">
      <c r="A142" s="66" t="s">
        <v>137</v>
      </c>
      <c r="B142" s="66" t="s">
        <v>259</v>
      </c>
      <c r="C142" s="3">
        <v>300</v>
      </c>
      <c r="D142" s="3">
        <v>2.8</v>
      </c>
      <c r="E142" s="2">
        <v>480</v>
      </c>
      <c r="F142" s="67" t="s">
        <v>138</v>
      </c>
      <c r="G142" s="68">
        <v>3</v>
      </c>
      <c r="H142" s="69">
        <v>2.97</v>
      </c>
      <c r="I142" s="2">
        <v>236</v>
      </c>
      <c r="J142" s="2">
        <v>133</v>
      </c>
      <c r="K142" s="2">
        <v>49</v>
      </c>
      <c r="L142" s="58">
        <f>AVERAGE(1599)</f>
        <v>1599</v>
      </c>
      <c r="M142" s="160" t="s">
        <v>967</v>
      </c>
      <c r="N142" s="58">
        <f>AVERAGE(1900,2200,500,2699,1925,2101)</f>
        <v>1887.5</v>
      </c>
      <c r="O142" s="16" t="s">
        <v>970</v>
      </c>
      <c r="P142" s="58">
        <v>1900</v>
      </c>
      <c r="Q142" s="16" t="s">
        <v>491</v>
      </c>
      <c r="R142" s="41" t="s">
        <v>33</v>
      </c>
      <c r="S142" s="58" t="s">
        <v>16</v>
      </c>
      <c r="T142" s="16" t="s">
        <v>16</v>
      </c>
      <c r="U142" s="41" t="s">
        <v>16</v>
      </c>
    </row>
    <row r="143" spans="1:21" ht="12.6" customHeight="1">
      <c r="A143" s="60" t="s">
        <v>137</v>
      </c>
      <c r="B143" s="60" t="s">
        <v>943</v>
      </c>
      <c r="C143" s="27">
        <v>300</v>
      </c>
      <c r="D143" s="64">
        <v>4</v>
      </c>
      <c r="E143" s="27">
        <v>480</v>
      </c>
      <c r="F143" s="62" t="s">
        <v>138</v>
      </c>
      <c r="G143" s="50">
        <v>4</v>
      </c>
      <c r="H143" s="31">
        <v>0.85</v>
      </c>
      <c r="I143" s="27">
        <v>132</v>
      </c>
      <c r="J143" s="27">
        <v>84</v>
      </c>
      <c r="K143" s="27">
        <v>77</v>
      </c>
      <c r="L143" s="52">
        <f>AVERAGE(485,445,397,479,457,371,475,399,437,525)</f>
        <v>447</v>
      </c>
      <c r="M143" s="43" t="s">
        <v>1072</v>
      </c>
      <c r="N143" s="52">
        <f>AVERAGE(668,578,699,620,590)</f>
        <v>631</v>
      </c>
      <c r="O143" s="27" t="s">
        <v>774</v>
      </c>
      <c r="P143" s="52">
        <v>572</v>
      </c>
      <c r="Q143" s="27" t="s">
        <v>917</v>
      </c>
      <c r="R143" s="43" t="s">
        <v>30</v>
      </c>
      <c r="S143" s="52" t="s">
        <v>16</v>
      </c>
      <c r="T143" s="27" t="s">
        <v>16</v>
      </c>
      <c r="U143" s="43" t="s">
        <v>16</v>
      </c>
    </row>
    <row r="144" spans="1:21" s="17" customFormat="1" ht="12.6" customHeight="1">
      <c r="A144" s="66" t="s">
        <v>137</v>
      </c>
      <c r="B144" s="66" t="s">
        <v>260</v>
      </c>
      <c r="C144" s="3">
        <v>400</v>
      </c>
      <c r="D144" s="3">
        <v>2.8</v>
      </c>
      <c r="E144" s="2">
        <v>640</v>
      </c>
      <c r="F144" s="67" t="s">
        <v>138</v>
      </c>
      <c r="G144" s="68">
        <v>4.5</v>
      </c>
      <c r="H144" s="69">
        <v>6</v>
      </c>
      <c r="I144" s="2">
        <v>325</v>
      </c>
      <c r="J144" s="2">
        <v>165</v>
      </c>
      <c r="K144" s="2">
        <v>49</v>
      </c>
      <c r="L144" s="58">
        <f>AVERAGE(2377,2225)</f>
        <v>2301</v>
      </c>
      <c r="M144" s="16" t="s">
        <v>1047</v>
      </c>
      <c r="N144" s="58" t="s">
        <v>16</v>
      </c>
      <c r="O144" s="16" t="s">
        <v>16</v>
      </c>
      <c r="P144" s="71">
        <v>2900</v>
      </c>
      <c r="Q144" s="115" t="s">
        <v>981</v>
      </c>
      <c r="R144" s="72" t="s">
        <v>30</v>
      </c>
      <c r="S144" s="58">
        <v>3900</v>
      </c>
      <c r="T144" s="16" t="s">
        <v>431</v>
      </c>
      <c r="U144" s="41" t="s">
        <v>32</v>
      </c>
    </row>
    <row r="145" spans="1:21" s="17" customFormat="1" ht="12.6" customHeight="1">
      <c r="A145" s="66" t="s">
        <v>137</v>
      </c>
      <c r="B145" s="66" t="s">
        <v>760</v>
      </c>
      <c r="C145" s="3">
        <v>400</v>
      </c>
      <c r="D145" s="3">
        <v>5.6</v>
      </c>
      <c r="E145" s="2">
        <v>520</v>
      </c>
      <c r="F145" s="67" t="s">
        <v>135</v>
      </c>
      <c r="G145" s="68">
        <v>5</v>
      </c>
      <c r="H145" s="69">
        <v>1.22</v>
      </c>
      <c r="I145" s="2">
        <v>277</v>
      </c>
      <c r="J145" s="2">
        <v>85</v>
      </c>
      <c r="K145" s="2">
        <v>77</v>
      </c>
      <c r="L145" s="58">
        <f>AVERAGE(335,300,230,248,367,384)</f>
        <v>310.66666666666669</v>
      </c>
      <c r="M145" s="16" t="s">
        <v>1072</v>
      </c>
      <c r="N145" s="58">
        <f>AVERAGE(399)</f>
        <v>399</v>
      </c>
      <c r="O145" s="16" t="s">
        <v>1072</v>
      </c>
      <c r="P145" s="58">
        <f>499*CA.US</f>
        <v>349.29999999999995</v>
      </c>
      <c r="Q145" s="16" t="s">
        <v>1033</v>
      </c>
      <c r="R145" s="2" t="s">
        <v>758</v>
      </c>
      <c r="S145" s="58">
        <v>600</v>
      </c>
      <c r="T145" s="16" t="s">
        <v>831</v>
      </c>
      <c r="U145" s="41" t="s">
        <v>33</v>
      </c>
    </row>
    <row r="146" spans="1:21" s="17" customFormat="1" ht="12.6" customHeight="1">
      <c r="A146" s="66" t="s">
        <v>137</v>
      </c>
      <c r="B146" s="66" t="s">
        <v>139</v>
      </c>
      <c r="C146" s="3">
        <v>500</v>
      </c>
      <c r="D146" s="3">
        <v>4.5</v>
      </c>
      <c r="E146" s="2">
        <v>800</v>
      </c>
      <c r="F146" s="67" t="s">
        <v>135</v>
      </c>
      <c r="G146" s="68">
        <v>10</v>
      </c>
      <c r="H146" s="69">
        <v>3.37</v>
      </c>
      <c r="I146" s="2">
        <v>440</v>
      </c>
      <c r="J146" s="2">
        <v>127</v>
      </c>
      <c r="K146" s="2">
        <v>52</v>
      </c>
      <c r="L146" s="58">
        <f>AVERAGE(450,525,405,546,500,533,596,600)</f>
        <v>519.375</v>
      </c>
      <c r="M146" s="160" t="s">
        <v>1072</v>
      </c>
      <c r="N146" s="58">
        <f>AVERAGE(800)</f>
        <v>800</v>
      </c>
      <c r="O146" s="160" t="s">
        <v>981</v>
      </c>
      <c r="P146" s="2">
        <v>415</v>
      </c>
      <c r="Q146" s="16" t="s">
        <v>831</v>
      </c>
      <c r="R146" s="2" t="s">
        <v>30</v>
      </c>
      <c r="S146" s="58">
        <v>800</v>
      </c>
      <c r="T146" s="16" t="s">
        <v>1072</v>
      </c>
      <c r="U146" s="41" t="s">
        <v>32</v>
      </c>
    </row>
    <row r="147" spans="1:21" s="17" customFormat="1" ht="12.6" customHeight="1">
      <c r="A147" s="66" t="s">
        <v>137</v>
      </c>
      <c r="B147" s="66" t="s">
        <v>957</v>
      </c>
      <c r="C147" s="3">
        <v>600</v>
      </c>
      <c r="D147" s="3">
        <v>4</v>
      </c>
      <c r="E147" s="2">
        <f>C147*1.6</f>
        <v>960</v>
      </c>
      <c r="F147" s="67" t="s">
        <v>893</v>
      </c>
      <c r="G147" s="68">
        <v>5</v>
      </c>
      <c r="H147" s="69">
        <v>6.8</v>
      </c>
      <c r="I147" s="2">
        <v>457</v>
      </c>
      <c r="J147" s="2">
        <v>176</v>
      </c>
      <c r="K147" s="163" t="s">
        <v>958</v>
      </c>
      <c r="L147" s="58">
        <f>AVERAGE(4261,5170)</f>
        <v>4715.5</v>
      </c>
      <c r="M147" s="16" t="s">
        <v>1072</v>
      </c>
      <c r="N147" s="58">
        <f>AVERAGE(6500,8800)</f>
        <v>7650</v>
      </c>
      <c r="O147" s="16" t="s">
        <v>1010</v>
      </c>
      <c r="P147" s="2"/>
      <c r="Q147" s="16"/>
      <c r="R147" s="2"/>
      <c r="S147" s="58"/>
      <c r="T147" s="16"/>
      <c r="U147" s="41"/>
    </row>
    <row r="148" spans="1:21" ht="12.6" customHeight="1">
      <c r="A148" s="60" t="s">
        <v>137</v>
      </c>
      <c r="B148" s="60" t="s">
        <v>433</v>
      </c>
      <c r="C148" s="27">
        <v>600</v>
      </c>
      <c r="D148" s="64">
        <v>5.6</v>
      </c>
      <c r="E148" s="27">
        <v>960</v>
      </c>
      <c r="F148" s="62" t="s">
        <v>138</v>
      </c>
      <c r="G148" s="50">
        <v>5.5</v>
      </c>
      <c r="H148" s="31">
        <v>3.28</v>
      </c>
      <c r="I148" s="27">
        <v>386</v>
      </c>
      <c r="J148" s="27">
        <v>133</v>
      </c>
      <c r="K148" s="164" t="s">
        <v>434</v>
      </c>
      <c r="L148" s="52">
        <f>AVERAGE(2198,2589,2787,2558,2280)</f>
        <v>2482.4</v>
      </c>
      <c r="M148" s="43" t="s">
        <v>1047</v>
      </c>
      <c r="N148" s="52">
        <f>AVERAGE(2999,3499)</f>
        <v>3249</v>
      </c>
      <c r="O148" s="43" t="s">
        <v>1047</v>
      </c>
      <c r="P148" s="27">
        <v>1695</v>
      </c>
      <c r="Q148" s="27" t="s">
        <v>426</v>
      </c>
      <c r="R148" s="43" t="s">
        <v>29</v>
      </c>
      <c r="S148" s="52" t="s">
        <v>16</v>
      </c>
      <c r="T148" s="27" t="s">
        <v>16</v>
      </c>
      <c r="U148" s="43" t="s">
        <v>16</v>
      </c>
    </row>
    <row r="149" spans="1:21" s="17" customFormat="1" ht="12.6" customHeight="1">
      <c r="A149" s="60" t="s">
        <v>137</v>
      </c>
      <c r="B149" s="60" t="s">
        <v>261</v>
      </c>
      <c r="C149" s="64">
        <v>1200</v>
      </c>
      <c r="D149" s="64">
        <v>8</v>
      </c>
      <c r="E149" s="27">
        <v>1920</v>
      </c>
      <c r="F149" s="65" t="s">
        <v>138</v>
      </c>
      <c r="G149" s="50">
        <v>8</v>
      </c>
      <c r="H149" s="31">
        <v>8.58</v>
      </c>
      <c r="I149" s="27">
        <v>684</v>
      </c>
      <c r="J149" s="27">
        <v>170</v>
      </c>
      <c r="K149" s="27">
        <v>49</v>
      </c>
      <c r="L149" s="52">
        <f>AVERAGE(0)</f>
        <v>0</v>
      </c>
      <c r="M149" s="64" t="s">
        <v>16</v>
      </c>
      <c r="N149" s="52">
        <f>AVERAGE(0)</f>
        <v>0</v>
      </c>
      <c r="O149" s="63" t="s">
        <v>16</v>
      </c>
      <c r="P149" s="52" t="s">
        <v>16</v>
      </c>
      <c r="Q149" s="64" t="s">
        <v>16</v>
      </c>
      <c r="R149" s="27" t="s">
        <v>16</v>
      </c>
      <c r="S149" s="52" t="s">
        <v>16</v>
      </c>
      <c r="T149" s="64" t="s">
        <v>16</v>
      </c>
      <c r="U149" s="43" t="s">
        <v>16</v>
      </c>
    </row>
    <row r="150" spans="1:21" s="17" customFormat="1" ht="12.6" customHeight="1">
      <c r="A150" s="97" t="s">
        <v>742</v>
      </c>
      <c r="B150" s="98"/>
      <c r="C150" s="34"/>
      <c r="D150" s="99"/>
      <c r="E150" s="34"/>
      <c r="F150" s="100" t="s">
        <v>16</v>
      </c>
      <c r="G150" s="101" t="s">
        <v>16</v>
      </c>
      <c r="H150" s="102" t="s">
        <v>16</v>
      </c>
      <c r="I150" s="34" t="s">
        <v>16</v>
      </c>
      <c r="J150" s="34" t="s">
        <v>16</v>
      </c>
      <c r="K150" s="34" t="s">
        <v>16</v>
      </c>
      <c r="L150" s="34" t="s">
        <v>16</v>
      </c>
      <c r="M150" s="34" t="s">
        <v>16</v>
      </c>
      <c r="N150" s="34" t="s">
        <v>16</v>
      </c>
      <c r="O150" s="34" t="s">
        <v>16</v>
      </c>
      <c r="P150" s="34" t="s">
        <v>16</v>
      </c>
      <c r="Q150" s="34" t="s">
        <v>16</v>
      </c>
      <c r="R150" s="34" t="s">
        <v>16</v>
      </c>
      <c r="S150" s="34" t="s">
        <v>16</v>
      </c>
      <c r="T150" s="34" t="s">
        <v>16</v>
      </c>
      <c r="U150" s="34" t="s">
        <v>16</v>
      </c>
    </row>
    <row r="151" spans="1:21" s="17" customFormat="1" ht="12.6" customHeight="1">
      <c r="A151" s="66" t="s">
        <v>702</v>
      </c>
      <c r="B151" s="66" t="s">
        <v>969</v>
      </c>
      <c r="C151" s="3">
        <v>55</v>
      </c>
      <c r="D151" s="3">
        <v>1.2</v>
      </c>
      <c r="E151" s="2">
        <f>C151*1.6</f>
        <v>88</v>
      </c>
      <c r="F151" s="67" t="s">
        <v>31</v>
      </c>
      <c r="G151" s="68">
        <v>0.6</v>
      </c>
      <c r="H151" s="69">
        <v>0.35</v>
      </c>
      <c r="I151" s="2" t="s">
        <v>16</v>
      </c>
      <c r="J151" s="2" t="s">
        <v>16</v>
      </c>
      <c r="K151" s="2">
        <v>55</v>
      </c>
      <c r="L151" s="58">
        <f>AVERAGE(340,550,547,495,493,550,549,405)</f>
        <v>491.125</v>
      </c>
      <c r="M151" s="160" t="s">
        <v>1072</v>
      </c>
      <c r="N151" s="58">
        <f>AVERAGE(975,825,895,780)</f>
        <v>868.75</v>
      </c>
      <c r="O151" s="160" t="s">
        <v>843</v>
      </c>
      <c r="P151" s="2" t="s">
        <v>16</v>
      </c>
      <c r="Q151" s="16" t="s">
        <v>16</v>
      </c>
      <c r="R151" s="2" t="s">
        <v>16</v>
      </c>
      <c r="S151" s="58" t="s">
        <v>16</v>
      </c>
      <c r="T151" s="16" t="s">
        <v>16</v>
      </c>
      <c r="U151" s="41" t="s">
        <v>16</v>
      </c>
    </row>
    <row r="152" spans="1:21" s="17" customFormat="1" ht="12.6" customHeight="1">
      <c r="A152" s="66" t="s">
        <v>702</v>
      </c>
      <c r="B152" s="66" t="s">
        <v>703</v>
      </c>
      <c r="C152" s="3">
        <v>55</v>
      </c>
      <c r="D152" s="3">
        <v>1.2</v>
      </c>
      <c r="E152" s="2">
        <f>C152*1.6</f>
        <v>88</v>
      </c>
      <c r="F152" s="67" t="s">
        <v>135</v>
      </c>
      <c r="G152" s="68">
        <v>0.6</v>
      </c>
      <c r="H152" s="69" t="s">
        <v>16</v>
      </c>
      <c r="I152" s="2" t="s">
        <v>16</v>
      </c>
      <c r="J152" s="2" t="s">
        <v>16</v>
      </c>
      <c r="K152" s="2">
        <v>58</v>
      </c>
      <c r="L152" s="58">
        <f>AVERAGE(299,350,435,449,390,338,370,430,385)</f>
        <v>382.88888888888891</v>
      </c>
      <c r="M152" s="160" t="s">
        <v>1072</v>
      </c>
      <c r="N152" s="58">
        <f>AVERAGE(460,595,425)</f>
        <v>493.33333333333331</v>
      </c>
      <c r="O152" s="160" t="s">
        <v>1072</v>
      </c>
      <c r="P152" s="2" t="s">
        <v>16</v>
      </c>
      <c r="Q152" s="16" t="s">
        <v>16</v>
      </c>
      <c r="R152" s="2" t="s">
        <v>16</v>
      </c>
      <c r="S152" s="58" t="s">
        <v>16</v>
      </c>
      <c r="T152" s="16" t="s">
        <v>16</v>
      </c>
      <c r="U152" s="41" t="s">
        <v>16</v>
      </c>
    </row>
    <row r="153" spans="1:21" s="17" customFormat="1" ht="12.6" customHeight="1">
      <c r="A153" s="66" t="s">
        <v>217</v>
      </c>
      <c r="B153" s="66" t="s">
        <v>911</v>
      </c>
      <c r="C153" s="3">
        <v>55</v>
      </c>
      <c r="D153" s="3">
        <v>1.2</v>
      </c>
      <c r="E153" s="2">
        <f>C153*1.6</f>
        <v>88</v>
      </c>
      <c r="F153" s="67" t="s">
        <v>31</v>
      </c>
      <c r="G153" s="68" t="s">
        <v>16</v>
      </c>
      <c r="H153" s="69" t="s">
        <v>16</v>
      </c>
      <c r="I153" s="2" t="s">
        <v>16</v>
      </c>
      <c r="J153" s="2" t="s">
        <v>16</v>
      </c>
      <c r="K153" s="2" t="s">
        <v>16</v>
      </c>
      <c r="L153" s="58">
        <f>AVERAGE(440,605,511,590)</f>
        <v>536.5</v>
      </c>
      <c r="M153" s="160" t="s">
        <v>1045</v>
      </c>
      <c r="N153" s="58">
        <f>AVERAGE(1275,975,1077)</f>
        <v>1109</v>
      </c>
      <c r="O153" s="160" t="s">
        <v>917</v>
      </c>
      <c r="P153" s="2" t="s">
        <v>16</v>
      </c>
      <c r="Q153" s="16" t="s">
        <v>16</v>
      </c>
      <c r="R153" s="2" t="s">
        <v>16</v>
      </c>
      <c r="S153" s="58" t="s">
        <v>16</v>
      </c>
      <c r="T153" s="16" t="s">
        <v>16</v>
      </c>
      <c r="U153" s="41" t="s">
        <v>16</v>
      </c>
    </row>
    <row r="154" spans="1:21" s="17" customFormat="1" ht="12.6" customHeight="1">
      <c r="A154" s="66" t="s">
        <v>217</v>
      </c>
      <c r="B154" s="66" t="s">
        <v>1024</v>
      </c>
      <c r="C154" s="3">
        <v>55</v>
      </c>
      <c r="D154" s="3">
        <v>1.2</v>
      </c>
      <c r="E154" s="2">
        <f t="shared" ref="E154" si="1">C154*1.6</f>
        <v>88</v>
      </c>
      <c r="F154" s="67" t="s">
        <v>31</v>
      </c>
      <c r="G154" s="68" t="s">
        <v>16</v>
      </c>
      <c r="H154" s="69" t="s">
        <v>16</v>
      </c>
      <c r="I154" s="2" t="s">
        <v>16</v>
      </c>
      <c r="J154" s="2" t="s">
        <v>16</v>
      </c>
      <c r="K154" s="2" t="s">
        <v>16</v>
      </c>
      <c r="L154" s="58">
        <f>AVERAGE(440,566,511,577,399,490)</f>
        <v>497.16666666666669</v>
      </c>
      <c r="M154" s="160" t="s">
        <v>1072</v>
      </c>
      <c r="N154" s="58">
        <f>AVERAGE(566)</f>
        <v>566</v>
      </c>
      <c r="O154" s="160" t="s">
        <v>1072</v>
      </c>
      <c r="P154" s="2" t="s">
        <v>16</v>
      </c>
      <c r="Q154" s="16" t="s">
        <v>16</v>
      </c>
      <c r="R154" s="2" t="s">
        <v>16</v>
      </c>
      <c r="S154" s="58" t="s">
        <v>16</v>
      </c>
      <c r="T154" s="16" t="s">
        <v>16</v>
      </c>
      <c r="U154" s="41" t="s">
        <v>16</v>
      </c>
    </row>
    <row r="155" spans="1:21" s="17" customFormat="1" ht="12.6" customHeight="1">
      <c r="A155" s="66" t="s">
        <v>886</v>
      </c>
      <c r="B155" s="66" t="s">
        <v>887</v>
      </c>
      <c r="C155" s="3">
        <v>55</v>
      </c>
      <c r="D155" s="3">
        <v>1.2</v>
      </c>
      <c r="E155" s="2">
        <f>C155*1.6</f>
        <v>88</v>
      </c>
      <c r="F155" s="67" t="s">
        <v>31</v>
      </c>
      <c r="G155" s="68" t="s">
        <v>16</v>
      </c>
      <c r="H155" s="69" t="s">
        <v>16</v>
      </c>
      <c r="I155" s="2" t="s">
        <v>16</v>
      </c>
      <c r="J155" s="2" t="s">
        <v>16</v>
      </c>
      <c r="K155" s="2" t="s">
        <v>16</v>
      </c>
      <c r="L155" s="58">
        <f>AVERAGE(531)</f>
        <v>531</v>
      </c>
      <c r="M155" s="160" t="s">
        <v>890</v>
      </c>
      <c r="N155" s="58">
        <f>AVERAGE(670)</f>
        <v>670</v>
      </c>
      <c r="O155" s="160" t="s">
        <v>917</v>
      </c>
      <c r="P155" s="2" t="s">
        <v>16</v>
      </c>
      <c r="Q155" s="16" t="s">
        <v>16</v>
      </c>
      <c r="R155" s="2" t="s">
        <v>16</v>
      </c>
      <c r="S155" s="58" t="s">
        <v>16</v>
      </c>
      <c r="T155" s="16" t="s">
        <v>16</v>
      </c>
      <c r="U155" s="41" t="s">
        <v>16</v>
      </c>
    </row>
    <row r="156" spans="1:21" s="17" customFormat="1" ht="12.6" customHeight="1">
      <c r="A156" s="60" t="s">
        <v>217</v>
      </c>
      <c r="B156" s="60" t="s">
        <v>163</v>
      </c>
      <c r="C156" s="64">
        <v>60</v>
      </c>
      <c r="D156" s="64">
        <v>2.8</v>
      </c>
      <c r="E156" s="27">
        <f>C156*1.6</f>
        <v>96</v>
      </c>
      <c r="F156" s="65" t="s">
        <v>31</v>
      </c>
      <c r="G156" s="50" t="s">
        <v>16</v>
      </c>
      <c r="H156" s="31" t="s">
        <v>16</v>
      </c>
      <c r="I156" s="27" t="s">
        <v>16</v>
      </c>
      <c r="J156" s="27" t="s">
        <v>16</v>
      </c>
      <c r="K156" s="27" t="s">
        <v>16</v>
      </c>
      <c r="L156" s="52">
        <f>AVERAGE(188,175,274,228,189,191,153)</f>
        <v>199.71428571428572</v>
      </c>
      <c r="M156" s="155" t="s">
        <v>1045</v>
      </c>
      <c r="N156" s="52">
        <f>AVERAGE(425,299,332,315,301)</f>
        <v>334.4</v>
      </c>
      <c r="O156" s="155" t="s">
        <v>952</v>
      </c>
      <c r="P156" s="27" t="s">
        <v>16</v>
      </c>
      <c r="Q156" s="61" t="s">
        <v>16</v>
      </c>
      <c r="R156" s="27" t="s">
        <v>16</v>
      </c>
      <c r="S156" s="52" t="s">
        <v>16</v>
      </c>
      <c r="T156" s="61" t="s">
        <v>16</v>
      </c>
      <c r="U156" s="43" t="s">
        <v>16</v>
      </c>
    </row>
    <row r="157" spans="1:21" ht="12.6" customHeight="1">
      <c r="A157" s="66" t="s">
        <v>826</v>
      </c>
      <c r="B157" s="66" t="s">
        <v>830</v>
      </c>
      <c r="C157" s="2">
        <v>16</v>
      </c>
      <c r="D157" s="3">
        <v>2.8</v>
      </c>
      <c r="E157" s="2">
        <f t="shared" ref="E157:E163" si="2">C157*1.6</f>
        <v>25.6</v>
      </c>
      <c r="F157" s="57" t="s">
        <v>136</v>
      </c>
      <c r="G157" s="68">
        <v>0.25</v>
      </c>
      <c r="H157" s="69">
        <v>0.42499999999999999</v>
      </c>
      <c r="I157" s="2" t="s">
        <v>16</v>
      </c>
      <c r="J157" s="2" t="s">
        <v>16</v>
      </c>
      <c r="K157" s="41" t="s">
        <v>143</v>
      </c>
      <c r="L157" s="58">
        <f>AVERAGE(170,205)</f>
        <v>187.5</v>
      </c>
      <c r="M157" s="160" t="s">
        <v>1013</v>
      </c>
      <c r="N157" s="58">
        <f>AVERAGE(340,400)</f>
        <v>370</v>
      </c>
      <c r="O157" s="59" t="s">
        <v>1047</v>
      </c>
      <c r="P157" s="58" t="s">
        <v>16</v>
      </c>
      <c r="Q157" s="2" t="s">
        <v>16</v>
      </c>
      <c r="R157" s="41" t="s">
        <v>16</v>
      </c>
      <c r="S157" s="58" t="s">
        <v>16</v>
      </c>
      <c r="T157" s="2" t="s">
        <v>16</v>
      </c>
      <c r="U157" s="41" t="s">
        <v>16</v>
      </c>
    </row>
    <row r="158" spans="1:21" ht="12.6" customHeight="1">
      <c r="A158" s="66" t="s">
        <v>826</v>
      </c>
      <c r="B158" s="66" t="s">
        <v>817</v>
      </c>
      <c r="C158" s="2">
        <v>19</v>
      </c>
      <c r="D158" s="3">
        <v>3.5</v>
      </c>
      <c r="E158" s="2">
        <f t="shared" si="2"/>
        <v>30.400000000000002</v>
      </c>
      <c r="F158" s="57" t="s">
        <v>136</v>
      </c>
      <c r="G158" s="68">
        <v>0.3</v>
      </c>
      <c r="H158" s="69">
        <v>0.26400000000000001</v>
      </c>
      <c r="I158" s="2" t="s">
        <v>16</v>
      </c>
      <c r="J158" s="2" t="s">
        <v>16</v>
      </c>
      <c r="K158" s="41">
        <v>72</v>
      </c>
      <c r="L158" s="58">
        <f>AVERAGE(242,211,320,292,300,351,345,310,364)</f>
        <v>303.88888888888891</v>
      </c>
      <c r="M158" s="2" t="s">
        <v>1047</v>
      </c>
      <c r="N158" s="58">
        <f>AVERAGE(439,415)</f>
        <v>427</v>
      </c>
      <c r="O158" s="160" t="s">
        <v>1010</v>
      </c>
      <c r="P158" s="58" t="s">
        <v>16</v>
      </c>
      <c r="Q158" s="2" t="s">
        <v>16</v>
      </c>
      <c r="R158" s="41" t="s">
        <v>16</v>
      </c>
      <c r="S158" s="58" t="s">
        <v>16</v>
      </c>
      <c r="T158" s="2" t="s">
        <v>16</v>
      </c>
      <c r="U158" s="41" t="s">
        <v>16</v>
      </c>
    </row>
    <row r="159" spans="1:21" ht="12.6" customHeight="1">
      <c r="A159" s="66" t="s">
        <v>826</v>
      </c>
      <c r="B159" s="66" t="s">
        <v>818</v>
      </c>
      <c r="C159" s="2">
        <v>24</v>
      </c>
      <c r="D159" s="3">
        <v>2.8</v>
      </c>
      <c r="E159" s="2">
        <f t="shared" si="2"/>
        <v>38.400000000000006</v>
      </c>
      <c r="F159" s="57" t="s">
        <v>136</v>
      </c>
      <c r="G159" s="68">
        <v>0.3</v>
      </c>
      <c r="H159" s="69">
        <v>0.17499999999999999</v>
      </c>
      <c r="I159" s="2" t="s">
        <v>16</v>
      </c>
      <c r="J159" s="2" t="s">
        <v>16</v>
      </c>
      <c r="K159" s="2">
        <v>49</v>
      </c>
      <c r="L159" s="58">
        <f>AVERAGE(118,200)</f>
        <v>159</v>
      </c>
      <c r="M159" s="41" t="s">
        <v>1047</v>
      </c>
      <c r="N159" s="58">
        <f t="shared" ref="N159" si="3">AVERAGE(0)</f>
        <v>0</v>
      </c>
      <c r="O159" s="160" t="s">
        <v>16</v>
      </c>
      <c r="P159" s="2" t="s">
        <v>16</v>
      </c>
      <c r="Q159" s="2" t="s">
        <v>16</v>
      </c>
      <c r="R159" s="2" t="s">
        <v>16</v>
      </c>
      <c r="S159" s="58" t="s">
        <v>16</v>
      </c>
      <c r="T159" s="2" t="s">
        <v>16</v>
      </c>
      <c r="U159" s="41" t="s">
        <v>16</v>
      </c>
    </row>
    <row r="160" spans="1:21" ht="12.6" customHeight="1">
      <c r="A160" s="66" t="s">
        <v>826</v>
      </c>
      <c r="B160" s="66" t="s">
        <v>819</v>
      </c>
      <c r="C160" s="2">
        <v>35</v>
      </c>
      <c r="D160" s="3">
        <v>1.9</v>
      </c>
      <c r="E160" s="2">
        <f t="shared" si="2"/>
        <v>56</v>
      </c>
      <c r="F160" s="57" t="s">
        <v>136</v>
      </c>
      <c r="G160" s="68">
        <v>0.4</v>
      </c>
      <c r="H160" s="69">
        <v>0.23</v>
      </c>
      <c r="I160" s="2" t="s">
        <v>16</v>
      </c>
      <c r="J160" s="2" t="s">
        <v>16</v>
      </c>
      <c r="K160" s="2">
        <v>49</v>
      </c>
      <c r="L160" s="58">
        <f>AVERAGE(250)</f>
        <v>250</v>
      </c>
      <c r="M160" s="41" t="s">
        <v>836</v>
      </c>
      <c r="N160" s="58">
        <f>AVERAGE(324,297,305)</f>
        <v>308.66666666666669</v>
      </c>
      <c r="O160" s="160" t="s">
        <v>1072</v>
      </c>
      <c r="P160" s="2" t="s">
        <v>16</v>
      </c>
      <c r="Q160" s="2" t="s">
        <v>16</v>
      </c>
      <c r="R160" s="2" t="s">
        <v>16</v>
      </c>
      <c r="S160" s="58" t="s">
        <v>16</v>
      </c>
      <c r="T160" s="2" t="s">
        <v>16</v>
      </c>
      <c r="U160" s="41" t="s">
        <v>16</v>
      </c>
    </row>
    <row r="161" spans="1:23" ht="12.6" customHeight="1">
      <c r="A161" s="66" t="s">
        <v>826</v>
      </c>
      <c r="B161" s="66" t="s">
        <v>820</v>
      </c>
      <c r="C161" s="2">
        <v>35</v>
      </c>
      <c r="D161" s="3">
        <v>2.8</v>
      </c>
      <c r="E161" s="2">
        <f t="shared" si="2"/>
        <v>56</v>
      </c>
      <c r="F161" s="57" t="s">
        <v>136</v>
      </c>
      <c r="G161" s="68">
        <v>0.4</v>
      </c>
      <c r="H161" s="69">
        <v>0.185</v>
      </c>
      <c r="I161" s="2">
        <v>44</v>
      </c>
      <c r="J161" s="2">
        <v>60</v>
      </c>
      <c r="K161" s="2">
        <v>49</v>
      </c>
      <c r="L161" s="58">
        <f>AVERAGE(125,129,125,76,82,100,138,122)</f>
        <v>112.125</v>
      </c>
      <c r="M161" s="41" t="s">
        <v>967</v>
      </c>
      <c r="N161" s="58">
        <f>AVERAGE(150,181,129,150,153,145,149,138,143)</f>
        <v>148.66666666666666</v>
      </c>
      <c r="O161" s="160" t="s">
        <v>970</v>
      </c>
      <c r="P161" s="2" t="s">
        <v>16</v>
      </c>
      <c r="Q161" s="2" t="s">
        <v>16</v>
      </c>
      <c r="R161" s="2" t="s">
        <v>16</v>
      </c>
      <c r="S161" s="58" t="s">
        <v>16</v>
      </c>
      <c r="T161" s="2" t="s">
        <v>16</v>
      </c>
      <c r="U161" s="41" t="s">
        <v>16</v>
      </c>
    </row>
    <row r="162" spans="1:23" ht="12.6" customHeight="1">
      <c r="A162" s="66" t="s">
        <v>826</v>
      </c>
      <c r="B162" s="66" t="s">
        <v>821</v>
      </c>
      <c r="C162" s="2">
        <v>50</v>
      </c>
      <c r="D162" s="3">
        <v>1.4</v>
      </c>
      <c r="E162" s="2">
        <f t="shared" si="2"/>
        <v>80</v>
      </c>
      <c r="F162" s="57" t="s">
        <v>136</v>
      </c>
      <c r="G162" s="68">
        <v>0.45</v>
      </c>
      <c r="H162" s="69">
        <v>0.27</v>
      </c>
      <c r="I162" s="2">
        <v>43</v>
      </c>
      <c r="J162" s="2">
        <v>63</v>
      </c>
      <c r="K162" s="2">
        <v>49</v>
      </c>
      <c r="L162" s="58">
        <f>AVERAGE(110,155,124,129,107,150,135,107,125)</f>
        <v>126.88888888888889</v>
      </c>
      <c r="M162" s="160" t="s">
        <v>1072</v>
      </c>
      <c r="N162" s="58">
        <f>AVERAGE(230,205,200,220,212,210,180,173)</f>
        <v>203.75</v>
      </c>
      <c r="O162" s="160" t="s">
        <v>1045</v>
      </c>
      <c r="P162" s="2" t="s">
        <v>16</v>
      </c>
      <c r="Q162" s="2" t="s">
        <v>16</v>
      </c>
      <c r="R162" s="2" t="s">
        <v>16</v>
      </c>
      <c r="S162" s="58" t="s">
        <v>16</v>
      </c>
      <c r="T162" s="2" t="s">
        <v>16</v>
      </c>
      <c r="U162" s="41" t="s">
        <v>16</v>
      </c>
    </row>
    <row r="163" spans="1:23" s="17" customFormat="1" ht="12.6" customHeight="1">
      <c r="A163" s="66" t="s">
        <v>826</v>
      </c>
      <c r="B163" s="66" t="s">
        <v>825</v>
      </c>
      <c r="C163" s="3">
        <v>55</v>
      </c>
      <c r="D163" s="3">
        <v>3.5</v>
      </c>
      <c r="E163" s="2">
        <f t="shared" si="2"/>
        <v>88</v>
      </c>
      <c r="F163" s="57" t="s">
        <v>136</v>
      </c>
      <c r="G163" s="68">
        <v>0.4</v>
      </c>
      <c r="H163" s="69">
        <v>0.185</v>
      </c>
      <c r="I163" s="2" t="s">
        <v>16</v>
      </c>
      <c r="J163" s="2" t="s">
        <v>16</v>
      </c>
      <c r="K163" s="2">
        <v>49</v>
      </c>
      <c r="L163" s="58">
        <f>AVERAGE(137,149,150)</f>
        <v>145.33333333333334</v>
      </c>
      <c r="M163" s="160" t="s">
        <v>1047</v>
      </c>
      <c r="N163" s="58">
        <f>AVERAGE(260,239,280,275,280)</f>
        <v>266.8</v>
      </c>
      <c r="O163" s="160" t="s">
        <v>863</v>
      </c>
      <c r="P163" s="2" t="s">
        <v>16</v>
      </c>
      <c r="Q163" s="16" t="s">
        <v>16</v>
      </c>
      <c r="R163" s="2" t="s">
        <v>16</v>
      </c>
      <c r="S163" s="58" t="s">
        <v>16</v>
      </c>
      <c r="T163" s="16" t="s">
        <v>16</v>
      </c>
      <c r="U163" s="41" t="s">
        <v>16</v>
      </c>
    </row>
    <row r="164" spans="1:23" s="17" customFormat="1" ht="12.6" customHeight="1">
      <c r="A164" s="66" t="s">
        <v>826</v>
      </c>
      <c r="B164" s="66" t="s">
        <v>822</v>
      </c>
      <c r="C164" s="3">
        <v>85</v>
      </c>
      <c r="D164" s="3">
        <v>4</v>
      </c>
      <c r="E164" s="2">
        <f t="shared" ref="E164" si="4">C164*1.6</f>
        <v>136</v>
      </c>
      <c r="F164" s="57" t="s">
        <v>136</v>
      </c>
      <c r="G164" s="68">
        <v>1</v>
      </c>
      <c r="H164" s="69">
        <v>0.28499999999999998</v>
      </c>
      <c r="I164" s="2" t="s">
        <v>16</v>
      </c>
      <c r="J164" s="2" t="s">
        <v>16</v>
      </c>
      <c r="K164" s="2">
        <v>49</v>
      </c>
      <c r="L164" s="58">
        <f>AVERAGE(203,382)</f>
        <v>292.5</v>
      </c>
      <c r="M164" s="160" t="s">
        <v>1045</v>
      </c>
      <c r="N164" s="58">
        <f>AVERAGE(757,800,850)</f>
        <v>802.33333333333337</v>
      </c>
      <c r="O164" s="160" t="s">
        <v>973</v>
      </c>
      <c r="P164" s="2" t="s">
        <v>16</v>
      </c>
      <c r="Q164" s="16" t="s">
        <v>16</v>
      </c>
      <c r="R164" s="2" t="s">
        <v>16</v>
      </c>
      <c r="S164" s="58" t="s">
        <v>16</v>
      </c>
      <c r="T164" s="16" t="s">
        <v>16</v>
      </c>
      <c r="U164" s="41" t="s">
        <v>16</v>
      </c>
    </row>
    <row r="165" spans="1:23" s="17" customFormat="1" ht="12.6" customHeight="1">
      <c r="A165" s="66" t="s">
        <v>826</v>
      </c>
      <c r="B165" s="66" t="s">
        <v>823</v>
      </c>
      <c r="C165" s="3">
        <v>100</v>
      </c>
      <c r="D165" s="3">
        <v>2.8</v>
      </c>
      <c r="E165" s="2">
        <f>C165*1.6</f>
        <v>160</v>
      </c>
      <c r="F165" s="57" t="s">
        <v>136</v>
      </c>
      <c r="G165" s="68">
        <v>1.2</v>
      </c>
      <c r="H165" s="69">
        <v>0.254</v>
      </c>
      <c r="I165" s="2" t="s">
        <v>748</v>
      </c>
      <c r="J165" s="2" t="s">
        <v>16</v>
      </c>
      <c r="K165" s="2">
        <v>49</v>
      </c>
      <c r="L165" s="58">
        <f>AVERAGE(110,120,125,175,153,181,148,124,165)</f>
        <v>144.55555555555554</v>
      </c>
      <c r="M165" s="160" t="s">
        <v>973</v>
      </c>
      <c r="N165" s="58">
        <f>AVERAGE(223,194,171,195,200,219,231,269,255)</f>
        <v>217.44444444444446</v>
      </c>
      <c r="O165" s="160" t="s">
        <v>1045</v>
      </c>
      <c r="P165" s="2" t="s">
        <v>16</v>
      </c>
      <c r="Q165" s="16" t="s">
        <v>16</v>
      </c>
      <c r="R165" s="2" t="s">
        <v>16</v>
      </c>
      <c r="S165" s="58" t="s">
        <v>16</v>
      </c>
      <c r="T165" s="16" t="s">
        <v>16</v>
      </c>
      <c r="U165" s="41" t="s">
        <v>16</v>
      </c>
    </row>
    <row r="166" spans="1:23" ht="12.6" customHeight="1">
      <c r="A166" s="60" t="s">
        <v>826</v>
      </c>
      <c r="B166" s="60" t="s">
        <v>824</v>
      </c>
      <c r="C166" s="27">
        <v>135</v>
      </c>
      <c r="D166" s="64">
        <v>2.5</v>
      </c>
      <c r="E166" s="27">
        <f t="shared" ref="E166" si="5">C166*1.6</f>
        <v>216</v>
      </c>
      <c r="F166" s="62" t="s">
        <v>136</v>
      </c>
      <c r="G166" s="50">
        <v>1.5</v>
      </c>
      <c r="H166" s="31">
        <v>0.432</v>
      </c>
      <c r="I166" s="27">
        <v>80</v>
      </c>
      <c r="J166" s="27">
        <v>66</v>
      </c>
      <c r="K166" s="64">
        <v>58</v>
      </c>
      <c r="L166" s="52">
        <f>AVERAGE(162,146,185,147,158,170,195,129)</f>
        <v>161.5</v>
      </c>
      <c r="M166" s="43" t="s">
        <v>1047</v>
      </c>
      <c r="N166" s="52">
        <f>AVERAGE(300,249,306,269,275,305,298,275,264)</f>
        <v>282.33333333333331</v>
      </c>
      <c r="O166" s="43" t="s">
        <v>843</v>
      </c>
      <c r="P166" s="27" t="s">
        <v>16</v>
      </c>
      <c r="Q166" s="27" t="s">
        <v>16</v>
      </c>
      <c r="R166" s="43" t="s">
        <v>16</v>
      </c>
      <c r="S166" s="52" t="s">
        <v>16</v>
      </c>
      <c r="T166" s="27" t="s">
        <v>16</v>
      </c>
      <c r="U166" s="43" t="s">
        <v>16</v>
      </c>
    </row>
    <row r="167" spans="1:23" s="17" customFormat="1" ht="12.6" customHeight="1">
      <c r="A167" s="66" t="s">
        <v>1004</v>
      </c>
      <c r="B167" s="66" t="s">
        <v>1008</v>
      </c>
      <c r="C167" s="3">
        <v>85</v>
      </c>
      <c r="D167" s="3">
        <v>1.4</v>
      </c>
      <c r="E167" s="2">
        <f>C167*1.6</f>
        <v>136</v>
      </c>
      <c r="F167" s="57" t="s">
        <v>31</v>
      </c>
      <c r="G167" s="68">
        <f>3.5*0.3048</f>
        <v>1.0668</v>
      </c>
      <c r="H167" s="69">
        <v>0.71</v>
      </c>
      <c r="I167" s="2">
        <v>67.5</v>
      </c>
      <c r="J167" s="2" t="s">
        <v>16</v>
      </c>
      <c r="K167" s="2">
        <v>67</v>
      </c>
      <c r="L167" s="58">
        <f t="shared" ref="L167:L171" si="6">AVERAGE(0)</f>
        <v>0</v>
      </c>
      <c r="M167" s="160" t="s">
        <v>16</v>
      </c>
      <c r="N167" s="58">
        <f t="shared" ref="N167:N170" si="7">AVERAGE(0)</f>
        <v>0</v>
      </c>
      <c r="O167" s="160" t="s">
        <v>16</v>
      </c>
      <c r="P167" s="2" t="s">
        <v>16</v>
      </c>
      <c r="Q167" s="16" t="s">
        <v>16</v>
      </c>
      <c r="R167" s="2" t="s">
        <v>16</v>
      </c>
      <c r="S167" s="58" t="s">
        <v>16</v>
      </c>
      <c r="T167" s="16" t="s">
        <v>16</v>
      </c>
      <c r="U167" s="41" t="s">
        <v>16</v>
      </c>
    </row>
    <row r="168" spans="1:23" s="17" customFormat="1" ht="12.6" customHeight="1">
      <c r="A168" s="66" t="s">
        <v>1004</v>
      </c>
      <c r="B168" s="66" t="s">
        <v>1005</v>
      </c>
      <c r="C168" s="3">
        <v>100</v>
      </c>
      <c r="D168" s="3">
        <v>1.8</v>
      </c>
      <c r="E168" s="2">
        <f t="shared" ref="E168" si="8">C168*1.6</f>
        <v>160</v>
      </c>
      <c r="F168" s="57" t="s">
        <v>31</v>
      </c>
      <c r="G168" s="68">
        <v>1.4</v>
      </c>
      <c r="H168" s="69">
        <v>0.39700000000000002</v>
      </c>
      <c r="I168" s="2">
        <v>78</v>
      </c>
      <c r="J168" s="2" t="s">
        <v>16</v>
      </c>
      <c r="K168" s="2">
        <v>62</v>
      </c>
      <c r="L168" s="58">
        <f>AVERAGE(281,322,324)</f>
        <v>309</v>
      </c>
      <c r="M168" s="160" t="s">
        <v>1072</v>
      </c>
      <c r="N168" s="58">
        <f>AVERAGE(680,650)</f>
        <v>665</v>
      </c>
      <c r="O168" s="160" t="s">
        <v>1047</v>
      </c>
      <c r="P168" s="2" t="s">
        <v>16</v>
      </c>
      <c r="Q168" s="16" t="s">
        <v>16</v>
      </c>
      <c r="R168" s="2" t="s">
        <v>16</v>
      </c>
      <c r="S168" s="58" t="s">
        <v>16</v>
      </c>
      <c r="T168" s="16" t="s">
        <v>16</v>
      </c>
      <c r="U168" s="41" t="s">
        <v>16</v>
      </c>
    </row>
    <row r="169" spans="1:23" s="17" customFormat="1" ht="12.6" customHeight="1">
      <c r="A169" s="66" t="s">
        <v>1004</v>
      </c>
      <c r="B169" s="66" t="s">
        <v>1007</v>
      </c>
      <c r="C169" s="3">
        <v>105</v>
      </c>
      <c r="D169" s="3">
        <v>2</v>
      </c>
      <c r="E169" s="2">
        <f t="shared" ref="E169:E175" si="9">C169*1.6</f>
        <v>168</v>
      </c>
      <c r="F169" s="57" t="s">
        <v>31</v>
      </c>
      <c r="G169" s="68">
        <v>1.5</v>
      </c>
      <c r="H169" s="69">
        <v>0.39700000000000002</v>
      </c>
      <c r="I169" s="2">
        <v>78.5</v>
      </c>
      <c r="J169" s="2" t="s">
        <v>16</v>
      </c>
      <c r="K169" s="2">
        <v>58</v>
      </c>
      <c r="L169" s="58">
        <f t="shared" si="6"/>
        <v>0</v>
      </c>
      <c r="M169" s="160" t="s">
        <v>16</v>
      </c>
      <c r="N169" s="58">
        <f>AVERAGE(299)</f>
        <v>299</v>
      </c>
      <c r="O169" s="160" t="s">
        <v>1045</v>
      </c>
      <c r="P169" s="2" t="s">
        <v>16</v>
      </c>
      <c r="Q169" s="16" t="s">
        <v>16</v>
      </c>
      <c r="R169" s="2" t="s">
        <v>16</v>
      </c>
      <c r="S169" s="58" t="s">
        <v>16</v>
      </c>
      <c r="T169" s="16" t="s">
        <v>16</v>
      </c>
      <c r="U169" s="41" t="s">
        <v>16</v>
      </c>
    </row>
    <row r="170" spans="1:23" s="17" customFormat="1" ht="12.6" customHeight="1">
      <c r="A170" s="66" t="s">
        <v>1004</v>
      </c>
      <c r="B170" s="66" t="s">
        <v>1006</v>
      </c>
      <c r="C170" s="3">
        <v>105</v>
      </c>
      <c r="D170" s="3">
        <v>2.5</v>
      </c>
      <c r="E170" s="2">
        <f t="shared" si="9"/>
        <v>168</v>
      </c>
      <c r="F170" s="57" t="s">
        <v>31</v>
      </c>
      <c r="G170" s="68">
        <f>3.5*0.3048</f>
        <v>1.0668</v>
      </c>
      <c r="H170" s="69">
        <v>0.311</v>
      </c>
      <c r="I170" s="2">
        <v>86</v>
      </c>
      <c r="J170" s="2" t="s">
        <v>16</v>
      </c>
      <c r="K170" s="2">
        <v>48</v>
      </c>
      <c r="L170" s="58">
        <f t="shared" si="6"/>
        <v>0</v>
      </c>
      <c r="M170" s="160" t="s">
        <v>16</v>
      </c>
      <c r="N170" s="58">
        <f t="shared" si="7"/>
        <v>0</v>
      </c>
      <c r="O170" s="160" t="s">
        <v>16</v>
      </c>
      <c r="P170" s="2" t="s">
        <v>16</v>
      </c>
      <c r="Q170" s="16" t="s">
        <v>16</v>
      </c>
      <c r="R170" s="2" t="s">
        <v>16</v>
      </c>
      <c r="S170" s="58" t="s">
        <v>16</v>
      </c>
      <c r="T170" s="16" t="s">
        <v>16</v>
      </c>
      <c r="U170" s="41" t="s">
        <v>16</v>
      </c>
    </row>
    <row r="171" spans="1:23" ht="12.6" customHeight="1">
      <c r="A171" s="60" t="s">
        <v>1004</v>
      </c>
      <c r="B171" s="60" t="s">
        <v>1009</v>
      </c>
      <c r="C171" s="27">
        <v>135</v>
      </c>
      <c r="D171" s="27">
        <v>2</v>
      </c>
      <c r="E171" s="27">
        <f t="shared" si="9"/>
        <v>216</v>
      </c>
      <c r="F171" s="51" t="s">
        <v>31</v>
      </c>
      <c r="G171" s="50">
        <f>5*0.3048</f>
        <v>1.524</v>
      </c>
      <c r="H171" s="31">
        <v>0.91</v>
      </c>
      <c r="I171" s="27">
        <v>115</v>
      </c>
      <c r="J171" s="27" t="s">
        <v>16</v>
      </c>
      <c r="K171" s="43">
        <v>72</v>
      </c>
      <c r="L171" s="52">
        <f t="shared" si="6"/>
        <v>0</v>
      </c>
      <c r="M171" s="155" t="s">
        <v>16</v>
      </c>
      <c r="N171" s="52">
        <f>AVERAGE(709)</f>
        <v>709</v>
      </c>
      <c r="O171" s="27" t="s">
        <v>1072</v>
      </c>
      <c r="P171" s="52" t="s">
        <v>16</v>
      </c>
      <c r="Q171" s="27" t="s">
        <v>16</v>
      </c>
      <c r="R171" s="43" t="s">
        <v>16</v>
      </c>
      <c r="S171" s="52" t="s">
        <v>16</v>
      </c>
      <c r="T171" s="27" t="s">
        <v>16</v>
      </c>
      <c r="U171" s="43" t="s">
        <v>16</v>
      </c>
      <c r="V171" s="2"/>
      <c r="W171" s="2"/>
    </row>
    <row r="172" spans="1:23" s="17" customFormat="1" ht="12.6" customHeight="1">
      <c r="A172" s="66" t="s">
        <v>267</v>
      </c>
      <c r="B172" s="66" t="s">
        <v>730</v>
      </c>
      <c r="C172" s="3">
        <v>21</v>
      </c>
      <c r="D172" s="3">
        <v>4</v>
      </c>
      <c r="E172" s="2">
        <f t="shared" si="9"/>
        <v>33.6</v>
      </c>
      <c r="F172" s="67" t="s">
        <v>136</v>
      </c>
      <c r="G172" s="68">
        <v>0.45</v>
      </c>
      <c r="H172" s="69">
        <v>0.22</v>
      </c>
      <c r="I172" s="2">
        <v>49</v>
      </c>
      <c r="J172" s="2">
        <v>62</v>
      </c>
      <c r="K172" s="3">
        <v>58</v>
      </c>
      <c r="L172" s="71">
        <f>AVERAGE(140,159,108,160,139)</f>
        <v>141.19999999999999</v>
      </c>
      <c r="M172" s="159" t="s">
        <v>1010</v>
      </c>
      <c r="N172" s="71">
        <f>AVERAGE(250,185)</f>
        <v>217.5</v>
      </c>
      <c r="O172" s="159" t="s">
        <v>836</v>
      </c>
      <c r="P172" s="2" t="s">
        <v>16</v>
      </c>
      <c r="Q172" s="16" t="s">
        <v>16</v>
      </c>
      <c r="R172" s="2" t="s">
        <v>16</v>
      </c>
      <c r="S172" s="58" t="s">
        <v>16</v>
      </c>
      <c r="T172" s="16" t="s">
        <v>16</v>
      </c>
      <c r="U172" s="41" t="s">
        <v>16</v>
      </c>
    </row>
    <row r="173" spans="1:23" s="17" customFormat="1" ht="12.6" customHeight="1">
      <c r="A173" s="66" t="s">
        <v>267</v>
      </c>
      <c r="B173" s="66" t="s">
        <v>736</v>
      </c>
      <c r="C173" s="3">
        <v>35</v>
      </c>
      <c r="D173" s="3">
        <v>2.8</v>
      </c>
      <c r="E173" s="2">
        <f t="shared" si="9"/>
        <v>56</v>
      </c>
      <c r="F173" s="67" t="s">
        <v>136</v>
      </c>
      <c r="G173" s="68">
        <v>0.4</v>
      </c>
      <c r="H173" s="69">
        <v>0.21</v>
      </c>
      <c r="I173" s="2" t="s">
        <v>16</v>
      </c>
      <c r="J173" s="2" t="s">
        <v>16</v>
      </c>
      <c r="K173" s="2">
        <v>52</v>
      </c>
      <c r="L173" s="58">
        <f>AVERAGE(86,82,65)</f>
        <v>77.666666666666671</v>
      </c>
      <c r="M173" s="160" t="s">
        <v>737</v>
      </c>
      <c r="N173" s="58">
        <f t="shared" ref="N173:N176" si="10">AVERAGE(0)</f>
        <v>0</v>
      </c>
      <c r="O173" s="160" t="s">
        <v>16</v>
      </c>
      <c r="P173" s="2" t="s">
        <v>16</v>
      </c>
      <c r="Q173" s="16" t="s">
        <v>16</v>
      </c>
      <c r="R173" s="2" t="s">
        <v>16</v>
      </c>
      <c r="S173" s="58" t="s">
        <v>16</v>
      </c>
      <c r="T173" s="16" t="s">
        <v>16</v>
      </c>
      <c r="U173" s="41" t="s">
        <v>16</v>
      </c>
    </row>
    <row r="174" spans="1:23" s="17" customFormat="1" ht="12.6" customHeight="1">
      <c r="A174" s="66" t="s">
        <v>267</v>
      </c>
      <c r="B174" s="66" t="s">
        <v>731</v>
      </c>
      <c r="C174" s="3">
        <v>50</v>
      </c>
      <c r="D174" s="3">
        <v>1.4</v>
      </c>
      <c r="E174" s="2">
        <f t="shared" si="9"/>
        <v>80</v>
      </c>
      <c r="F174" s="67" t="s">
        <v>136</v>
      </c>
      <c r="G174" s="68">
        <v>0.45</v>
      </c>
      <c r="H174" s="69">
        <v>0.20499999999999999</v>
      </c>
      <c r="I174" s="2" t="s">
        <v>16</v>
      </c>
      <c r="J174" s="2" t="s">
        <v>16</v>
      </c>
      <c r="K174" s="2">
        <v>49</v>
      </c>
      <c r="L174" s="58">
        <f>AVERAGE(103,108,110)</f>
        <v>107</v>
      </c>
      <c r="M174" s="160" t="s">
        <v>1072</v>
      </c>
      <c r="N174" s="58">
        <f t="shared" si="10"/>
        <v>0</v>
      </c>
      <c r="O174" s="160" t="s">
        <v>16</v>
      </c>
      <c r="P174" s="2" t="s">
        <v>16</v>
      </c>
      <c r="Q174" s="16" t="s">
        <v>16</v>
      </c>
      <c r="R174" s="2" t="s">
        <v>16</v>
      </c>
      <c r="S174" s="58" t="s">
        <v>16</v>
      </c>
      <c r="T174" s="16" t="s">
        <v>16</v>
      </c>
      <c r="U174" s="41" t="s">
        <v>16</v>
      </c>
    </row>
    <row r="175" spans="1:23" s="17" customFormat="1" ht="12.6" customHeight="1">
      <c r="A175" s="66" t="s">
        <v>267</v>
      </c>
      <c r="B175" s="66" t="s">
        <v>615</v>
      </c>
      <c r="C175" s="3">
        <v>60</v>
      </c>
      <c r="D175" s="3">
        <v>2.8</v>
      </c>
      <c r="E175" s="2">
        <f t="shared" si="9"/>
        <v>96</v>
      </c>
      <c r="F175" s="67" t="s">
        <v>136</v>
      </c>
      <c r="G175" s="68">
        <v>0.23499999999999999</v>
      </c>
      <c r="H175" s="69">
        <v>0.39500000000000002</v>
      </c>
      <c r="I175" s="2">
        <v>66.349999999999994</v>
      </c>
      <c r="J175" s="2">
        <v>66.400000000000006</v>
      </c>
      <c r="K175" s="2">
        <v>58</v>
      </c>
      <c r="L175" s="58">
        <f>AVERAGE(124,177,244,185,125,240,215,200,183)</f>
        <v>188.11111111111111</v>
      </c>
      <c r="M175" s="160" t="s">
        <v>1072</v>
      </c>
      <c r="N175" s="58">
        <f>AVERAGE(299,200,280,273)</f>
        <v>263</v>
      </c>
      <c r="O175" s="160" t="s">
        <v>890</v>
      </c>
      <c r="P175" s="2">
        <v>204</v>
      </c>
      <c r="Q175" s="16" t="s">
        <v>772</v>
      </c>
      <c r="R175" s="2" t="s">
        <v>33</v>
      </c>
      <c r="S175" s="58" t="s">
        <v>16</v>
      </c>
      <c r="T175" s="16" t="s">
        <v>16</v>
      </c>
      <c r="U175" s="41" t="s">
        <v>16</v>
      </c>
    </row>
    <row r="176" spans="1:23" ht="12.6" customHeight="1">
      <c r="A176" s="60" t="s">
        <v>267</v>
      </c>
      <c r="B176" s="60" t="s">
        <v>732</v>
      </c>
      <c r="C176" s="27">
        <v>85</v>
      </c>
      <c r="D176" s="64">
        <v>1.7</v>
      </c>
      <c r="E176" s="27">
        <f t="shared" ref="E176" si="11">C176*1.6</f>
        <v>136</v>
      </c>
      <c r="F176" s="62" t="s">
        <v>136</v>
      </c>
      <c r="G176" s="50">
        <v>0.9</v>
      </c>
      <c r="H176" s="31">
        <v>0.5</v>
      </c>
      <c r="I176" s="27" t="s">
        <v>16</v>
      </c>
      <c r="J176" s="27" t="s">
        <v>16</v>
      </c>
      <c r="K176" s="27">
        <v>58</v>
      </c>
      <c r="L176" s="52">
        <f t="shared" ref="L176" si="12">AVERAGE(0)</f>
        <v>0</v>
      </c>
      <c r="M176" s="155" t="s">
        <v>16</v>
      </c>
      <c r="N176" s="52">
        <f t="shared" si="10"/>
        <v>0</v>
      </c>
      <c r="O176" s="43" t="s">
        <v>16</v>
      </c>
      <c r="P176" s="27" t="s">
        <v>16</v>
      </c>
      <c r="Q176" s="27" t="s">
        <v>16</v>
      </c>
      <c r="R176" s="43" t="s">
        <v>16</v>
      </c>
      <c r="S176" s="52" t="s">
        <v>16</v>
      </c>
      <c r="T176" s="27" t="s">
        <v>16</v>
      </c>
      <c r="U176" s="43" t="s">
        <v>16</v>
      </c>
    </row>
    <row r="177" spans="1:21" ht="12.6" customHeight="1">
      <c r="A177" s="66" t="s">
        <v>985</v>
      </c>
      <c r="B177" s="66" t="s">
        <v>986</v>
      </c>
      <c r="C177" s="2">
        <v>50</v>
      </c>
      <c r="D177" s="3">
        <v>1.8</v>
      </c>
      <c r="E177" s="2">
        <v>65</v>
      </c>
      <c r="F177" s="57" t="s">
        <v>136</v>
      </c>
      <c r="G177" s="68">
        <v>0.19500000000000001</v>
      </c>
      <c r="H177" s="69">
        <v>0.33</v>
      </c>
      <c r="I177" s="2">
        <v>39</v>
      </c>
      <c r="J177" s="2">
        <v>64</v>
      </c>
      <c r="K177" s="2">
        <v>49</v>
      </c>
      <c r="L177" s="58">
        <f>AVERAGE(27,20,30)</f>
        <v>25.666666666666668</v>
      </c>
      <c r="M177" s="160" t="s">
        <v>996</v>
      </c>
      <c r="N177" s="58">
        <f>AVERAGE(40,55)</f>
        <v>47.5</v>
      </c>
      <c r="O177" s="160" t="s">
        <v>996</v>
      </c>
      <c r="P177" s="2" t="s">
        <v>16</v>
      </c>
      <c r="Q177" s="2" t="s">
        <v>16</v>
      </c>
      <c r="R177" s="2" t="s">
        <v>16</v>
      </c>
      <c r="S177" s="58" t="s">
        <v>16</v>
      </c>
      <c r="T177" s="2" t="s">
        <v>16</v>
      </c>
      <c r="U177" s="41" t="s">
        <v>16</v>
      </c>
    </row>
    <row r="178" spans="1:21" ht="12.6" customHeight="1">
      <c r="A178" s="60" t="s">
        <v>925</v>
      </c>
      <c r="B178" s="60" t="s">
        <v>926</v>
      </c>
      <c r="C178" s="27">
        <v>58</v>
      </c>
      <c r="D178" s="64">
        <v>1.9</v>
      </c>
      <c r="E178" s="27">
        <f>C178*1.6</f>
        <v>92.800000000000011</v>
      </c>
      <c r="F178" s="62" t="s">
        <v>136</v>
      </c>
      <c r="G178" s="50">
        <f>2.5*0.3048</f>
        <v>0.76200000000000001</v>
      </c>
      <c r="H178" s="31">
        <v>0.12</v>
      </c>
      <c r="I178" s="27">
        <v>34</v>
      </c>
      <c r="J178" s="27">
        <v>51.4</v>
      </c>
      <c r="K178" s="27">
        <v>39</v>
      </c>
      <c r="L178" s="52">
        <f>AVERAGE(401,408,400,380,298,415,315)</f>
        <v>373.85714285714283</v>
      </c>
      <c r="M178" s="43" t="s">
        <v>1072</v>
      </c>
      <c r="N178" s="52">
        <f>AVERAGE(409,485,410,622,540,500)</f>
        <v>494.33333333333331</v>
      </c>
      <c r="O178" s="43" t="s">
        <v>1045</v>
      </c>
      <c r="P178" s="27" t="s">
        <v>16</v>
      </c>
      <c r="Q178" s="27" t="s">
        <v>16</v>
      </c>
      <c r="R178" s="43" t="s">
        <v>16</v>
      </c>
      <c r="S178" s="52" t="s">
        <v>16</v>
      </c>
      <c r="T178" s="27" t="s">
        <v>16</v>
      </c>
      <c r="U178" s="43" t="s">
        <v>16</v>
      </c>
    </row>
    <row r="179" spans="1:21" ht="12.6" customHeight="1">
      <c r="A179" s="60" t="s">
        <v>743</v>
      </c>
      <c r="B179" s="60" t="s">
        <v>814</v>
      </c>
      <c r="C179" s="27">
        <v>58</v>
      </c>
      <c r="D179" s="64">
        <v>1.2</v>
      </c>
      <c r="E179" s="27">
        <f>C179*1.6</f>
        <v>92.800000000000011</v>
      </c>
      <c r="F179" s="62" t="s">
        <v>959</v>
      </c>
      <c r="G179" s="50">
        <v>0.6</v>
      </c>
      <c r="H179" s="31">
        <v>0.45500000000000002</v>
      </c>
      <c r="I179" s="27">
        <v>54</v>
      </c>
      <c r="J179" s="27">
        <v>69</v>
      </c>
      <c r="K179" s="27">
        <v>55</v>
      </c>
      <c r="L179" s="52">
        <f>AVERAGE(398,448,350,331,319,406,375,483,430,530,439)</f>
        <v>409.90909090909093</v>
      </c>
      <c r="M179" s="43" t="s">
        <v>1072</v>
      </c>
      <c r="N179" s="52">
        <f>AVERAGE(584,548,567,545,550,550,515,579)</f>
        <v>554.75</v>
      </c>
      <c r="O179" s="43" t="s">
        <v>1072</v>
      </c>
      <c r="P179" s="27">
        <v>450</v>
      </c>
      <c r="Q179" s="27" t="s">
        <v>816</v>
      </c>
      <c r="R179" s="43" t="s">
        <v>32</v>
      </c>
      <c r="S179" s="52" t="s">
        <v>16</v>
      </c>
      <c r="T179" s="27" t="s">
        <v>16</v>
      </c>
      <c r="U179" s="43" t="s">
        <v>16</v>
      </c>
    </row>
    <row r="180" spans="1:21" ht="12.6" customHeight="1">
      <c r="A180" s="66" t="s">
        <v>573</v>
      </c>
      <c r="B180" s="66" t="s">
        <v>934</v>
      </c>
      <c r="C180" s="2">
        <v>10</v>
      </c>
      <c r="D180" s="3">
        <v>2.8</v>
      </c>
      <c r="E180" s="2">
        <v>16</v>
      </c>
      <c r="F180" s="57" t="s">
        <v>960</v>
      </c>
      <c r="G180" s="68">
        <v>0.24</v>
      </c>
      <c r="H180" s="69">
        <v>0.59</v>
      </c>
      <c r="I180" s="2">
        <v>79.2</v>
      </c>
      <c r="J180" s="2">
        <v>86</v>
      </c>
      <c r="K180" s="2" t="s">
        <v>31</v>
      </c>
      <c r="L180" s="58">
        <f>AVERAGE(0)</f>
        <v>0</v>
      </c>
      <c r="M180" s="2" t="s">
        <v>16</v>
      </c>
      <c r="N180" s="58">
        <f>AVERAGE(0)</f>
        <v>0</v>
      </c>
      <c r="O180" s="41" t="s">
        <v>16</v>
      </c>
      <c r="P180" s="2" t="s">
        <v>16</v>
      </c>
      <c r="Q180" s="2" t="s">
        <v>16</v>
      </c>
      <c r="R180" s="41" t="s">
        <v>16</v>
      </c>
      <c r="S180" s="147">
        <v>402</v>
      </c>
      <c r="T180" s="2" t="s">
        <v>952</v>
      </c>
      <c r="U180" s="41" t="s">
        <v>32</v>
      </c>
    </row>
    <row r="181" spans="1:21" ht="12.6" customHeight="1">
      <c r="A181" s="66" t="s">
        <v>496</v>
      </c>
      <c r="B181" s="66" t="s">
        <v>556</v>
      </c>
      <c r="C181" s="2">
        <v>14</v>
      </c>
      <c r="D181" s="3">
        <v>2.8</v>
      </c>
      <c r="E181" s="2">
        <f>C181*1.6</f>
        <v>22.400000000000002</v>
      </c>
      <c r="F181" s="57" t="s">
        <v>741</v>
      </c>
      <c r="G181" s="68">
        <v>0.28000000000000003</v>
      </c>
      <c r="H181" s="69">
        <v>0.57299999999999995</v>
      </c>
      <c r="I181" s="2">
        <v>93.6</v>
      </c>
      <c r="J181" s="2">
        <v>87</v>
      </c>
      <c r="K181" s="41" t="s">
        <v>31</v>
      </c>
      <c r="L181" s="58">
        <f>AVERAGE(213,200,251,176,255,216,238,198,223,231,229)</f>
        <v>220.90909090909091</v>
      </c>
      <c r="M181" s="2" t="s">
        <v>1072</v>
      </c>
      <c r="N181" s="58">
        <f>AVERAGE(240,250,279,305,301,253,284,260,260,261)</f>
        <v>269.3</v>
      </c>
      <c r="O181" s="59" t="s">
        <v>1072</v>
      </c>
      <c r="P181" s="58">
        <v>250</v>
      </c>
      <c r="Q181" s="2" t="s">
        <v>1045</v>
      </c>
      <c r="R181" s="41" t="s">
        <v>33</v>
      </c>
      <c r="S181" s="58">
        <v>240</v>
      </c>
      <c r="T181" s="2" t="s">
        <v>1072</v>
      </c>
      <c r="U181" s="41" t="s">
        <v>33</v>
      </c>
    </row>
    <row r="182" spans="1:21" ht="12.6" customHeight="1">
      <c r="A182" s="66" t="s">
        <v>573</v>
      </c>
      <c r="B182" s="66" t="s">
        <v>935</v>
      </c>
      <c r="C182" s="2">
        <v>16</v>
      </c>
      <c r="D182" s="3">
        <v>2</v>
      </c>
      <c r="E182" s="2">
        <v>25.6</v>
      </c>
      <c r="F182" s="57" t="s">
        <v>960</v>
      </c>
      <c r="G182" s="5">
        <v>0.2</v>
      </c>
      <c r="H182" s="69">
        <v>0.58299999999999996</v>
      </c>
      <c r="I182" s="2">
        <v>89.4</v>
      </c>
      <c r="J182" s="2">
        <v>83</v>
      </c>
      <c r="K182" s="41">
        <v>77</v>
      </c>
      <c r="L182" s="58">
        <f>AVERAGE(0)</f>
        <v>0</v>
      </c>
      <c r="M182" s="2" t="s">
        <v>16</v>
      </c>
      <c r="N182" s="58">
        <f>AVERAGE(327,299)</f>
        <v>313</v>
      </c>
      <c r="O182" s="59" t="s">
        <v>1072</v>
      </c>
      <c r="P182" s="58" t="s">
        <v>16</v>
      </c>
      <c r="Q182" s="2" t="s">
        <v>16</v>
      </c>
      <c r="R182" s="41" t="s">
        <v>16</v>
      </c>
      <c r="S182" s="147">
        <v>370</v>
      </c>
      <c r="T182" s="2" t="s">
        <v>952</v>
      </c>
      <c r="U182" s="41" t="s">
        <v>32</v>
      </c>
    </row>
    <row r="183" spans="1:21" ht="12.6" customHeight="1">
      <c r="A183" s="66" t="s">
        <v>496</v>
      </c>
      <c r="B183" s="66" t="s">
        <v>582</v>
      </c>
      <c r="C183" s="2">
        <v>24</v>
      </c>
      <c r="D183" s="3">
        <v>1.4</v>
      </c>
      <c r="E183" s="2">
        <f t="shared" ref="E183:E190" si="13">C183*1.6</f>
        <v>38.400000000000006</v>
      </c>
      <c r="F183" s="57" t="s">
        <v>741</v>
      </c>
      <c r="G183" s="68">
        <v>0.25</v>
      </c>
      <c r="H183" s="69" t="s">
        <v>16</v>
      </c>
      <c r="I183" s="2">
        <v>97.5</v>
      </c>
      <c r="J183" s="2">
        <v>83</v>
      </c>
      <c r="K183" s="41">
        <v>77</v>
      </c>
      <c r="L183" s="58">
        <f>AVERAGE(360,399,405,399,361,340)</f>
        <v>377.33333333333331</v>
      </c>
      <c r="M183" s="2" t="s">
        <v>1072</v>
      </c>
      <c r="N183" s="58">
        <f>AVERAGE(400,409,411,419,409)</f>
        <v>409.6</v>
      </c>
      <c r="O183" s="160" t="s">
        <v>1072</v>
      </c>
      <c r="P183" s="58" t="s">
        <v>16</v>
      </c>
      <c r="Q183" s="2" t="s">
        <v>16</v>
      </c>
      <c r="R183" s="41" t="s">
        <v>16</v>
      </c>
      <c r="S183" s="58">
        <v>468</v>
      </c>
      <c r="T183" s="2" t="s">
        <v>917</v>
      </c>
      <c r="U183" s="41" t="s">
        <v>30</v>
      </c>
    </row>
    <row r="184" spans="1:21" ht="12.6" customHeight="1">
      <c r="A184" s="66" t="s">
        <v>496</v>
      </c>
      <c r="B184" s="66" t="s">
        <v>773</v>
      </c>
      <c r="C184" s="2">
        <v>24</v>
      </c>
      <c r="D184" s="3">
        <v>3.5</v>
      </c>
      <c r="E184" s="2">
        <f t="shared" si="13"/>
        <v>38.400000000000006</v>
      </c>
      <c r="F184" s="57" t="s">
        <v>741</v>
      </c>
      <c r="G184" s="68">
        <v>0.2</v>
      </c>
      <c r="H184" s="69">
        <v>0.68</v>
      </c>
      <c r="I184" s="2">
        <v>113</v>
      </c>
      <c r="J184" s="2">
        <v>44.5</v>
      </c>
      <c r="K184" s="41">
        <v>82</v>
      </c>
      <c r="L184" s="58">
        <f>AVERAGE(556,529,494,377,599,540,576)</f>
        <v>524.42857142857144</v>
      </c>
      <c r="M184" s="160" t="s">
        <v>1072</v>
      </c>
      <c r="N184" s="58">
        <f>AVERAGE(599,699,680,699,699)</f>
        <v>675.2</v>
      </c>
      <c r="O184" s="160" t="s">
        <v>1072</v>
      </c>
      <c r="P184" s="58">
        <v>570</v>
      </c>
      <c r="Q184" s="2" t="s">
        <v>1072</v>
      </c>
      <c r="R184" s="41" t="s">
        <v>906</v>
      </c>
      <c r="S184" s="147">
        <v>1000</v>
      </c>
      <c r="T184" s="2" t="s">
        <v>774</v>
      </c>
      <c r="U184" s="41" t="s">
        <v>33</v>
      </c>
    </row>
    <row r="185" spans="1:21" ht="12.6" customHeight="1">
      <c r="A185" s="66" t="s">
        <v>573</v>
      </c>
      <c r="B185" s="66" t="s">
        <v>510</v>
      </c>
      <c r="C185" s="2">
        <v>35</v>
      </c>
      <c r="D185" s="3">
        <v>1.4</v>
      </c>
      <c r="E185" s="2">
        <f t="shared" ref="E185" si="14">C185*1.6</f>
        <v>56</v>
      </c>
      <c r="F185" s="57" t="s">
        <v>741</v>
      </c>
      <c r="G185" s="68">
        <v>0.3</v>
      </c>
      <c r="H185" s="69">
        <v>0.41699999999999998</v>
      </c>
      <c r="I185" s="2">
        <v>77.3</v>
      </c>
      <c r="J185" s="2">
        <v>83</v>
      </c>
      <c r="K185" s="41">
        <v>77</v>
      </c>
      <c r="L185" s="58">
        <f>AVERAGE(290,290,275,243.163,320,193,290)</f>
        <v>271.5947142857143</v>
      </c>
      <c r="M185" s="2" t="s">
        <v>1072</v>
      </c>
      <c r="N185" s="58">
        <f>AVERAGE(350,300,400,350,370,329,340,429)</f>
        <v>358.5</v>
      </c>
      <c r="O185" s="160" t="s">
        <v>1010</v>
      </c>
      <c r="P185" s="58">
        <v>315</v>
      </c>
      <c r="Q185" s="2" t="s">
        <v>1045</v>
      </c>
      <c r="R185" s="41" t="s">
        <v>33</v>
      </c>
      <c r="S185" s="58">
        <v>350</v>
      </c>
      <c r="T185" s="2" t="s">
        <v>1072</v>
      </c>
      <c r="U185" s="41" t="s">
        <v>32</v>
      </c>
    </row>
    <row r="186" spans="1:21" ht="12.6" customHeight="1">
      <c r="A186" s="66" t="s">
        <v>573</v>
      </c>
      <c r="B186" s="66" t="s">
        <v>956</v>
      </c>
      <c r="C186" s="2">
        <v>50</v>
      </c>
      <c r="D186" s="3">
        <v>1.4</v>
      </c>
      <c r="E186" s="2">
        <f t="shared" si="13"/>
        <v>80</v>
      </c>
      <c r="F186" s="57" t="s">
        <v>741</v>
      </c>
      <c r="G186" s="68">
        <v>0.45</v>
      </c>
      <c r="H186" s="69">
        <v>0.54</v>
      </c>
      <c r="I186" s="2">
        <v>73.7</v>
      </c>
      <c r="J186" s="2">
        <v>81.3</v>
      </c>
      <c r="K186" s="41">
        <v>77</v>
      </c>
      <c r="L186" s="58">
        <f>AVERAGE(219,154,220)</f>
        <v>197.66666666666666</v>
      </c>
      <c r="M186" s="2" t="s">
        <v>1072</v>
      </c>
      <c r="N186" s="58">
        <f>AVERAGE(233)</f>
        <v>233</v>
      </c>
      <c r="O186" s="160" t="s">
        <v>1072</v>
      </c>
      <c r="P186" s="58">
        <v>280</v>
      </c>
      <c r="Q186" s="2" t="s">
        <v>1045</v>
      </c>
      <c r="R186" s="41" t="s">
        <v>33</v>
      </c>
      <c r="S186" s="147">
        <v>400</v>
      </c>
      <c r="T186" s="2" t="s">
        <v>973</v>
      </c>
      <c r="U186" s="41" t="s">
        <v>32</v>
      </c>
    </row>
    <row r="187" spans="1:21" ht="12.6" customHeight="1">
      <c r="A187" s="66" t="s">
        <v>573</v>
      </c>
      <c r="B187" s="66" t="s">
        <v>432</v>
      </c>
      <c r="C187" s="2">
        <v>85</v>
      </c>
      <c r="D187" s="3">
        <v>1.4</v>
      </c>
      <c r="E187" s="2">
        <f t="shared" ref="E187" si="15">C187*1.6</f>
        <v>136</v>
      </c>
      <c r="F187" s="57" t="s">
        <v>741</v>
      </c>
      <c r="G187" s="68">
        <v>1</v>
      </c>
      <c r="H187" s="69">
        <v>0.53900000000000003</v>
      </c>
      <c r="I187" s="2">
        <v>74.7</v>
      </c>
      <c r="J187" s="2">
        <v>78</v>
      </c>
      <c r="K187" s="41">
        <v>72</v>
      </c>
      <c r="L187" s="58">
        <f>AVERAGE(184,203,189,194,180,223,200,172,198)</f>
        <v>193.66666666666666</v>
      </c>
      <c r="M187" s="2" t="s">
        <v>1072</v>
      </c>
      <c r="N187" s="58">
        <f>AVERAGE(220,225,240,269,269,249,259,275,285,285)</f>
        <v>257.60000000000002</v>
      </c>
      <c r="O187" s="160" t="s">
        <v>1072</v>
      </c>
      <c r="P187" s="58">
        <v>210</v>
      </c>
      <c r="Q187" s="2" t="s">
        <v>917</v>
      </c>
      <c r="R187" s="41" t="s">
        <v>32</v>
      </c>
      <c r="S187" s="147">
        <v>208</v>
      </c>
      <c r="T187" s="2" t="s">
        <v>981</v>
      </c>
      <c r="U187" s="41" t="s">
        <v>30</v>
      </c>
    </row>
    <row r="188" spans="1:21" ht="12.6" customHeight="1">
      <c r="A188" s="66" t="s">
        <v>496</v>
      </c>
      <c r="B188" s="66" t="s">
        <v>1000</v>
      </c>
      <c r="C188" s="2">
        <v>100</v>
      </c>
      <c r="D188" s="3">
        <v>2.8</v>
      </c>
      <c r="E188" s="2">
        <f>C188*1.6</f>
        <v>160</v>
      </c>
      <c r="F188" s="57" t="s">
        <v>741</v>
      </c>
      <c r="G188" s="68">
        <v>0.307</v>
      </c>
      <c r="H188" s="69">
        <v>0.72</v>
      </c>
      <c r="I188" s="2">
        <v>123.1</v>
      </c>
      <c r="J188" s="2">
        <v>72.599999999999994</v>
      </c>
      <c r="K188" s="41">
        <v>67</v>
      </c>
      <c r="L188" s="58" t="s">
        <v>16</v>
      </c>
      <c r="M188" s="2" t="s">
        <v>16</v>
      </c>
      <c r="N188" s="147">
        <f>AVERAGE(399)</f>
        <v>399</v>
      </c>
      <c r="O188" s="160" t="s">
        <v>1072</v>
      </c>
      <c r="P188" s="58" t="s">
        <v>16</v>
      </c>
      <c r="Q188" s="2" t="s">
        <v>16</v>
      </c>
      <c r="R188" s="41" t="s">
        <v>16</v>
      </c>
      <c r="S188" s="147">
        <v>550</v>
      </c>
      <c r="T188" s="2" t="s">
        <v>1010</v>
      </c>
      <c r="U188" s="41" t="s">
        <v>32</v>
      </c>
    </row>
    <row r="189" spans="1:21" ht="12.6" customHeight="1">
      <c r="A189" s="60" t="s">
        <v>573</v>
      </c>
      <c r="B189" s="60" t="s">
        <v>999</v>
      </c>
      <c r="C189" s="27">
        <v>135</v>
      </c>
      <c r="D189" s="64">
        <v>2</v>
      </c>
      <c r="E189" s="27">
        <f t="shared" si="13"/>
        <v>216</v>
      </c>
      <c r="F189" s="62" t="s">
        <v>31</v>
      </c>
      <c r="G189" s="50">
        <v>0.8</v>
      </c>
      <c r="H189" s="31">
        <v>0.83</v>
      </c>
      <c r="I189" s="27">
        <v>122</v>
      </c>
      <c r="J189" s="27">
        <v>82</v>
      </c>
      <c r="K189" s="43">
        <v>77</v>
      </c>
      <c r="L189" s="52" t="s">
        <v>16</v>
      </c>
      <c r="M189" s="43" t="s">
        <v>16</v>
      </c>
      <c r="N189" s="52">
        <f>AVERAGE(403)</f>
        <v>403</v>
      </c>
      <c r="O189" s="43" t="s">
        <v>1047</v>
      </c>
      <c r="P189" s="52" t="s">
        <v>16</v>
      </c>
      <c r="Q189" s="27" t="s">
        <v>16</v>
      </c>
      <c r="R189" s="43" t="s">
        <v>16</v>
      </c>
      <c r="S189" s="149">
        <v>550</v>
      </c>
      <c r="T189" s="27" t="s">
        <v>1010</v>
      </c>
      <c r="U189" s="43" t="s">
        <v>32</v>
      </c>
    </row>
    <row r="190" spans="1:21" ht="12.6" customHeight="1">
      <c r="A190" s="60" t="s">
        <v>165</v>
      </c>
      <c r="B190" s="60" t="s">
        <v>395</v>
      </c>
      <c r="C190" s="27">
        <v>16</v>
      </c>
      <c r="D190" s="64">
        <v>2.8</v>
      </c>
      <c r="E190" s="27">
        <f t="shared" si="13"/>
        <v>25.6</v>
      </c>
      <c r="F190" s="62" t="s">
        <v>31</v>
      </c>
      <c r="G190" s="50">
        <v>0.3</v>
      </c>
      <c r="H190" s="31">
        <v>0.31</v>
      </c>
      <c r="I190" s="27">
        <v>49</v>
      </c>
      <c r="J190" s="27">
        <v>63</v>
      </c>
      <c r="K190" s="43" t="s">
        <v>161</v>
      </c>
      <c r="L190" s="46">
        <f>AVERAGE(100,119,128,103,108,123,123)</f>
        <v>114.85714285714286</v>
      </c>
      <c r="M190" s="43" t="s">
        <v>1072</v>
      </c>
      <c r="N190" s="27">
        <f>AVERAGE(168,150,175,143,184,184,174)</f>
        <v>168.28571428571428</v>
      </c>
      <c r="O190" s="27" t="s">
        <v>1072</v>
      </c>
      <c r="P190" s="46">
        <v>165</v>
      </c>
      <c r="Q190" s="34" t="s">
        <v>737</v>
      </c>
      <c r="R190" s="53" t="s">
        <v>30</v>
      </c>
      <c r="S190" s="165">
        <v>175</v>
      </c>
      <c r="T190" s="34" t="s">
        <v>981</v>
      </c>
      <c r="U190" s="53" t="s">
        <v>30</v>
      </c>
    </row>
  </sheetData>
  <sheetProtection password="990B" sheet="1" objects="1" scenarios="1"/>
  <phoneticPr fontId="0" type="noConversion"/>
  <conditionalFormatting sqref="O63:O66 O49:O58 M49:M58 O183:O184 M63:M64 O68 M134 M140 O163 M163 O174:O175 M174:M175 O140 M18:M26 M28 M60 O60 O70:O73 M168 O168 M30 M126:M128 O126:O128 O18:O26 M137 M108:M115 O108:O115 O94:O95 M94:M95 M76:M78 O76:O78 M98:M105 O98:O105 M146 O146 O117 M117 O134 O142:O143 M142:M143 M32 O180 M180:M183 M66:M68 M36:M47 O30:O32 M70:M73 O137 O35:O47 O91 M91 M186 O186 O188:O65572 M188:M65572 M155:M156 M148:M150 O149:O150 O87 M87 O80:O85 M80:M85 O28 M1:M6 O1:O6 O8:O16 M8:M16">
    <cfRule type="cellIs" dxfId="235" priority="190" stopIfTrue="1" operator="lessThan">
      <formula>".08-09"</formula>
    </cfRule>
  </conditionalFormatting>
  <conditionalFormatting sqref="Q61 O61 T61 M61">
    <cfRule type="cellIs" dxfId="234" priority="191" stopIfTrue="1" operator="lessThan">
      <formula>".07-06"</formula>
    </cfRule>
  </conditionalFormatting>
  <conditionalFormatting sqref="O48">
    <cfRule type="cellIs" dxfId="233" priority="187" stopIfTrue="1" operator="lessThan">
      <formula>".08-09"</formula>
    </cfRule>
  </conditionalFormatting>
  <conditionalFormatting sqref="M127 O127">
    <cfRule type="cellIs" dxfId="232" priority="185" stopIfTrue="1" operator="lessThan">
      <formula>".08-09"</formula>
    </cfRule>
  </conditionalFormatting>
  <conditionalFormatting sqref="O139 M139">
    <cfRule type="cellIs" dxfId="231" priority="181" stopIfTrue="1" operator="lessThan">
      <formula>".08-09"</formula>
    </cfRule>
  </conditionalFormatting>
  <conditionalFormatting sqref="O133 M133">
    <cfRule type="cellIs" dxfId="230" priority="183" stopIfTrue="1" operator="lessThan">
      <formula>".08-09"</formula>
    </cfRule>
  </conditionalFormatting>
  <conditionalFormatting sqref="O139 M139">
    <cfRule type="cellIs" dxfId="229" priority="182" stopIfTrue="1" operator="lessThan">
      <formula>".08-09"</formula>
    </cfRule>
  </conditionalFormatting>
  <conditionalFormatting sqref="O107 M107">
    <cfRule type="cellIs" dxfId="228" priority="178" stopIfTrue="1" operator="lessThan">
      <formula>".08-09"</formula>
    </cfRule>
  </conditionalFormatting>
  <conditionalFormatting sqref="M152">
    <cfRule type="cellIs" dxfId="227" priority="177" stopIfTrue="1" operator="lessThan">
      <formula>".08-09"</formula>
    </cfRule>
  </conditionalFormatting>
  <conditionalFormatting sqref="M88 O88">
    <cfRule type="cellIs" dxfId="226" priority="176" stopIfTrue="1" operator="lessThan">
      <formula>".08-09"</formula>
    </cfRule>
  </conditionalFormatting>
  <conditionalFormatting sqref="O153 M153">
    <cfRule type="cellIs" dxfId="225" priority="171" stopIfTrue="1" operator="lessThan">
      <formula>".08-09"</formula>
    </cfRule>
  </conditionalFormatting>
  <conditionalFormatting sqref="O119 M119">
    <cfRule type="cellIs" dxfId="224" priority="172" stopIfTrue="1" operator="lessThan">
      <formula>".08-09"</formula>
    </cfRule>
  </conditionalFormatting>
  <conditionalFormatting sqref="M172 O172">
    <cfRule type="cellIs" dxfId="223" priority="170" stopIfTrue="1" operator="lessThan">
      <formula>".08-09"</formula>
    </cfRule>
  </conditionalFormatting>
  <conditionalFormatting sqref="M159 M161">
    <cfRule type="cellIs" dxfId="222" priority="169" stopIfTrue="1" operator="lessThan">
      <formula>".08-09"</formula>
    </cfRule>
  </conditionalFormatting>
  <conditionalFormatting sqref="O176">
    <cfRule type="cellIs" dxfId="221" priority="168" stopIfTrue="1" operator="lessThan">
      <formula>".08-09"</formula>
    </cfRule>
  </conditionalFormatting>
  <conditionalFormatting sqref="M160">
    <cfRule type="cellIs" dxfId="220" priority="166" stopIfTrue="1" operator="lessThan">
      <formula>".08-09"</formula>
    </cfRule>
  </conditionalFormatting>
  <conditionalFormatting sqref="O173 M173">
    <cfRule type="cellIs" dxfId="219" priority="165" stopIfTrue="1" operator="lessThan">
      <formula>".08-09"</formula>
    </cfRule>
  </conditionalFormatting>
  <conditionalFormatting sqref="M17 O17">
    <cfRule type="cellIs" dxfId="218" priority="162" stopIfTrue="1" operator="lessThan">
      <formula>".08-09"</formula>
    </cfRule>
  </conditionalFormatting>
  <conditionalFormatting sqref="O132 M132">
    <cfRule type="cellIs" dxfId="217" priority="160" stopIfTrue="1" operator="lessThan">
      <formula>".08-09"</formula>
    </cfRule>
  </conditionalFormatting>
  <conditionalFormatting sqref="O132 M132">
    <cfRule type="cellIs" dxfId="216" priority="159" stopIfTrue="1" operator="lessThan">
      <formula>".08-09"</formula>
    </cfRule>
  </conditionalFormatting>
  <conditionalFormatting sqref="M31">
    <cfRule type="cellIs" dxfId="215" priority="151" stopIfTrue="1" operator="lessThan">
      <formula>".08-09"</formula>
    </cfRule>
  </conditionalFormatting>
  <conditionalFormatting sqref="M69">
    <cfRule type="cellIs" dxfId="214" priority="148" stopIfTrue="1" operator="lessThan">
      <formula>".08-09"</formula>
    </cfRule>
  </conditionalFormatting>
  <conditionalFormatting sqref="M59">
    <cfRule type="cellIs" dxfId="213" priority="150" stopIfTrue="1" operator="lessThan">
      <formula>".08-09"</formula>
    </cfRule>
  </conditionalFormatting>
  <conditionalFormatting sqref="O59">
    <cfRule type="cellIs" dxfId="212" priority="147" stopIfTrue="1" operator="lessThan">
      <formula>".08-09"</formula>
    </cfRule>
  </conditionalFormatting>
  <conditionalFormatting sqref="O69">
    <cfRule type="cellIs" dxfId="211" priority="146" stopIfTrue="1" operator="lessThan">
      <formula>".08-09"</formula>
    </cfRule>
  </conditionalFormatting>
  <conditionalFormatting sqref="M118">
    <cfRule type="cellIs" dxfId="210" priority="142" stopIfTrue="1" operator="lessThan">
      <formula>".08-09"</formula>
    </cfRule>
  </conditionalFormatting>
  <conditionalFormatting sqref="O118">
    <cfRule type="cellIs" dxfId="209" priority="141" stopIfTrue="1" operator="lessThan">
      <formula>".08-09"</formula>
    </cfRule>
  </conditionalFormatting>
  <conditionalFormatting sqref="O181:O182">
    <cfRule type="cellIs" dxfId="208" priority="139" stopIfTrue="1" operator="lessThan">
      <formula>".08-09"</formula>
    </cfRule>
  </conditionalFormatting>
  <conditionalFormatting sqref="O144 M144">
    <cfRule type="cellIs" dxfId="207" priority="136" stopIfTrue="1" operator="lessThan">
      <formula>".08-09"</formula>
    </cfRule>
  </conditionalFormatting>
  <conditionalFormatting sqref="O144 M144">
    <cfRule type="cellIs" dxfId="206" priority="137" stopIfTrue="1" operator="lessThan">
      <formula>".08-09"</formula>
    </cfRule>
  </conditionalFormatting>
  <conditionalFormatting sqref="O167">
    <cfRule type="cellIs" dxfId="205" priority="135" stopIfTrue="1" operator="lessThan">
      <formula>".08-09"</formula>
    </cfRule>
  </conditionalFormatting>
  <conditionalFormatting sqref="M29 O29">
    <cfRule type="cellIs" dxfId="204" priority="134" stopIfTrue="1" operator="lessThan">
      <formula>".08-09"</formula>
    </cfRule>
  </conditionalFormatting>
  <conditionalFormatting sqref="M167">
    <cfRule type="cellIs" dxfId="203" priority="133" stopIfTrue="1" operator="lessThan">
      <formula>".08-09"</formula>
    </cfRule>
  </conditionalFormatting>
  <conditionalFormatting sqref="O158 M158">
    <cfRule type="cellIs" dxfId="202" priority="130" stopIfTrue="1" operator="lessThan">
      <formula>".08-09"</formula>
    </cfRule>
  </conditionalFormatting>
  <conditionalFormatting sqref="O157">
    <cfRule type="cellIs" dxfId="201" priority="129" stopIfTrue="1" operator="lessThan">
      <formula>".08-09"</formula>
    </cfRule>
  </conditionalFormatting>
  <conditionalFormatting sqref="M157">
    <cfRule type="cellIs" dxfId="200" priority="128" stopIfTrue="1" operator="lessThan">
      <formula>".08-09"</formula>
    </cfRule>
  </conditionalFormatting>
  <conditionalFormatting sqref="M184">
    <cfRule type="cellIs" dxfId="199" priority="127" stopIfTrue="1" operator="lessThan">
      <formula>".08-09"</formula>
    </cfRule>
  </conditionalFormatting>
  <conditionalFormatting sqref="M92 O92">
    <cfRule type="cellIs" dxfId="198" priority="126" stopIfTrue="1" operator="lessThan">
      <formula>".08-09"</formula>
    </cfRule>
  </conditionalFormatting>
  <conditionalFormatting sqref="O155">
    <cfRule type="cellIs" dxfId="197" priority="124" stopIfTrue="1" operator="lessThan">
      <formula>".08-09"</formula>
    </cfRule>
  </conditionalFormatting>
  <conditionalFormatting sqref="M176">
    <cfRule type="cellIs" dxfId="196" priority="114" stopIfTrue="1" operator="lessThan">
      <formula>".08-09"</formula>
    </cfRule>
  </conditionalFormatting>
  <conditionalFormatting sqref="M154">
    <cfRule type="cellIs" dxfId="195" priority="103" stopIfTrue="1" operator="lessThan">
      <formula>".08-09"</formula>
    </cfRule>
  </conditionalFormatting>
  <conditionalFormatting sqref="O154">
    <cfRule type="cellIs" dxfId="194" priority="102" stopIfTrue="1" operator="lessThan">
      <formula>".08-09"</formula>
    </cfRule>
  </conditionalFormatting>
  <conditionalFormatting sqref="O106 M106">
    <cfRule type="cellIs" dxfId="193" priority="101" stopIfTrue="1" operator="lessThan">
      <formula>".08-09"</formula>
    </cfRule>
  </conditionalFormatting>
  <conditionalFormatting sqref="O74:O75 M74:M75">
    <cfRule type="cellIs" dxfId="192" priority="97" stopIfTrue="1" operator="lessThan">
      <formula>".08-09"</formula>
    </cfRule>
  </conditionalFormatting>
  <conditionalFormatting sqref="M162">
    <cfRule type="cellIs" dxfId="191" priority="96" stopIfTrue="1" operator="lessThan">
      <formula>".08-09"</formula>
    </cfRule>
  </conditionalFormatting>
  <conditionalFormatting sqref="O156">
    <cfRule type="cellIs" dxfId="190" priority="95" stopIfTrue="1" operator="lessThan">
      <formula>".08-09"</formula>
    </cfRule>
  </conditionalFormatting>
  <conditionalFormatting sqref="O96:O97 M96:M97">
    <cfRule type="cellIs" dxfId="189" priority="94" stopIfTrue="1" operator="lessThan">
      <formula>".08-09"</formula>
    </cfRule>
  </conditionalFormatting>
  <conditionalFormatting sqref="O130 M130">
    <cfRule type="cellIs" dxfId="188" priority="80" stopIfTrue="1" operator="lessThan">
      <formula>".08-09"</formula>
    </cfRule>
  </conditionalFormatting>
  <conditionalFormatting sqref="O116 M116">
    <cfRule type="cellIs" dxfId="187" priority="81" stopIfTrue="1" operator="lessThan">
      <formula>".08-09"</formula>
    </cfRule>
  </conditionalFormatting>
  <conditionalFormatting sqref="O120 M120">
    <cfRule type="cellIs" dxfId="186" priority="85" stopIfTrue="1" operator="lessThan">
      <formula>".08-09"</formula>
    </cfRule>
  </conditionalFormatting>
  <conditionalFormatting sqref="O123">
    <cfRule type="cellIs" dxfId="185" priority="83" stopIfTrue="1" operator="lessThan">
      <formula>".08-09"</formula>
    </cfRule>
  </conditionalFormatting>
  <conditionalFormatting sqref="M123">
    <cfRule type="cellIs" dxfId="184" priority="82" stopIfTrue="1" operator="lessThan">
      <formula>".08-09"</formula>
    </cfRule>
  </conditionalFormatting>
  <conditionalFormatting sqref="O178 M178">
    <cfRule type="cellIs" dxfId="183" priority="79" stopIfTrue="1" operator="lessThan">
      <formula>".08-09"</formula>
    </cfRule>
  </conditionalFormatting>
  <conditionalFormatting sqref="O179 M179">
    <cfRule type="cellIs" dxfId="182" priority="78" stopIfTrue="1" operator="lessThan">
      <formula>".08-09"</formula>
    </cfRule>
  </conditionalFormatting>
  <conditionalFormatting sqref="M185 O185">
    <cfRule type="cellIs" dxfId="181" priority="74" stopIfTrue="1" operator="lessThan">
      <formula>".08-09"</formula>
    </cfRule>
  </conditionalFormatting>
  <conditionalFormatting sqref="M62 O62">
    <cfRule type="cellIs" dxfId="180" priority="73" stopIfTrue="1" operator="lessThan">
      <formula>".08-09"</formula>
    </cfRule>
  </conditionalFormatting>
  <conditionalFormatting sqref="M151">
    <cfRule type="cellIs" dxfId="179" priority="72" stopIfTrue="1" operator="lessThan">
      <formula>".08-09"</formula>
    </cfRule>
  </conditionalFormatting>
  <conditionalFormatting sqref="M65">
    <cfRule type="cellIs" dxfId="178" priority="70" stopIfTrue="1" operator="lessThan">
      <formula>".08-09"</formula>
    </cfRule>
  </conditionalFormatting>
  <conditionalFormatting sqref="M35">
    <cfRule type="cellIs" dxfId="177" priority="69" stopIfTrue="1" operator="lessThan">
      <formula>".08-09"</formula>
    </cfRule>
  </conditionalFormatting>
  <conditionalFormatting sqref="O152">
    <cfRule type="cellIs" dxfId="176" priority="67" stopIfTrue="1" operator="lessThan">
      <formula>".08-09"</formula>
    </cfRule>
  </conditionalFormatting>
  <conditionalFormatting sqref="O151">
    <cfRule type="cellIs" dxfId="175" priority="66" stopIfTrue="1" operator="lessThan">
      <formula>".08-09"</formula>
    </cfRule>
  </conditionalFormatting>
  <conditionalFormatting sqref="M177">
    <cfRule type="cellIs" dxfId="174" priority="64" stopIfTrue="1" operator="lessThan">
      <formula>".08-09"</formula>
    </cfRule>
  </conditionalFormatting>
  <conditionalFormatting sqref="O129 M129">
    <cfRule type="cellIs" dxfId="173" priority="63" stopIfTrue="1" operator="lessThan">
      <formula>".08-09"</formula>
    </cfRule>
  </conditionalFormatting>
  <conditionalFormatting sqref="M129 O129">
    <cfRule type="cellIs" dxfId="172" priority="62" stopIfTrue="1" operator="lessThan">
      <formula>".08-09"</formula>
    </cfRule>
  </conditionalFormatting>
  <conditionalFormatting sqref="O130 M130">
    <cfRule type="cellIs" dxfId="171" priority="61" stopIfTrue="1" operator="lessThan">
      <formula>".08-09"</formula>
    </cfRule>
  </conditionalFormatting>
  <conditionalFormatting sqref="O90">
    <cfRule type="cellIs" dxfId="170" priority="52" stopIfTrue="1" operator="lessThan">
      <formula>".08-09"</formula>
    </cfRule>
  </conditionalFormatting>
  <conditionalFormatting sqref="M90">
    <cfRule type="cellIs" dxfId="169" priority="51" stopIfTrue="1" operator="lessThan">
      <formula>".08-09"</formula>
    </cfRule>
  </conditionalFormatting>
  <conditionalFormatting sqref="O89">
    <cfRule type="cellIs" dxfId="168" priority="50" stopIfTrue="1" operator="lessThan">
      <formula>".08-09"</formula>
    </cfRule>
  </conditionalFormatting>
  <conditionalFormatting sqref="M89">
    <cfRule type="cellIs" dxfId="167" priority="49" stopIfTrue="1" operator="lessThan">
      <formula>".08-09"</formula>
    </cfRule>
  </conditionalFormatting>
  <conditionalFormatting sqref="O187 M187">
    <cfRule type="cellIs" dxfId="166" priority="46" stopIfTrue="1" operator="lessThan">
      <formula>".08-09"</formula>
    </cfRule>
  </conditionalFormatting>
  <conditionalFormatting sqref="M187 O187">
    <cfRule type="cellIs" dxfId="165" priority="45" stopIfTrue="1" operator="lessThan">
      <formula>".08-09"</formula>
    </cfRule>
  </conditionalFormatting>
  <conditionalFormatting sqref="O189 M189">
    <cfRule type="cellIs" dxfId="164" priority="44" stopIfTrue="1" operator="lessThan">
      <formula>".08-09"</formula>
    </cfRule>
  </conditionalFormatting>
  <conditionalFormatting sqref="M165 O165">
    <cfRule type="cellIs" dxfId="163" priority="43" stopIfTrue="1" operator="lessThan">
      <formula>".08-09"</formula>
    </cfRule>
  </conditionalFormatting>
  <conditionalFormatting sqref="O166 M166">
    <cfRule type="cellIs" dxfId="162" priority="42" stopIfTrue="1" operator="lessThan">
      <formula>".08-09"</formula>
    </cfRule>
  </conditionalFormatting>
  <conditionalFormatting sqref="O164">
    <cfRule type="cellIs" dxfId="161" priority="41" stopIfTrue="1" operator="lessThan">
      <formula>".08-09"</formula>
    </cfRule>
  </conditionalFormatting>
  <conditionalFormatting sqref="M164">
    <cfRule type="cellIs" dxfId="160" priority="40" stopIfTrue="1" operator="lessThan">
      <formula>".08-09"</formula>
    </cfRule>
  </conditionalFormatting>
  <conditionalFormatting sqref="O171">
    <cfRule type="cellIs" dxfId="159" priority="39" stopIfTrue="1" operator="lessThan">
      <formula>".08-09"</formula>
    </cfRule>
  </conditionalFormatting>
  <conditionalFormatting sqref="M171">
    <cfRule type="cellIs" dxfId="158" priority="38" stopIfTrue="1" operator="lessThan">
      <formula>".08-09"</formula>
    </cfRule>
  </conditionalFormatting>
  <conditionalFormatting sqref="O170">
    <cfRule type="cellIs" dxfId="157" priority="37" stopIfTrue="1" operator="lessThan">
      <formula>".08-09"</formula>
    </cfRule>
  </conditionalFormatting>
  <conditionalFormatting sqref="M170">
    <cfRule type="cellIs" dxfId="156" priority="36" stopIfTrue="1" operator="lessThan">
      <formula>".08-09"</formula>
    </cfRule>
  </conditionalFormatting>
  <conditionalFormatting sqref="M170 O170">
    <cfRule type="cellIs" dxfId="155" priority="35" stopIfTrue="1" operator="lessThan">
      <formula>".08-09"</formula>
    </cfRule>
  </conditionalFormatting>
  <conditionalFormatting sqref="O171">
    <cfRule type="cellIs" dxfId="154" priority="34" stopIfTrue="1" operator="lessThan">
      <formula>".08-09"</formula>
    </cfRule>
  </conditionalFormatting>
  <conditionalFormatting sqref="M171">
    <cfRule type="cellIs" dxfId="153" priority="33" stopIfTrue="1" operator="lessThan">
      <formula>".08-09"</formula>
    </cfRule>
  </conditionalFormatting>
  <conditionalFormatting sqref="O169">
    <cfRule type="cellIs" dxfId="152" priority="32" stopIfTrue="1" operator="lessThan">
      <formula>".08-09"</formula>
    </cfRule>
  </conditionalFormatting>
  <conditionalFormatting sqref="M169">
    <cfRule type="cellIs" dxfId="151" priority="31" stopIfTrue="1" operator="lessThan">
      <formula>".08-09"</formula>
    </cfRule>
  </conditionalFormatting>
  <conditionalFormatting sqref="M169 O169">
    <cfRule type="cellIs" dxfId="150" priority="30" stopIfTrue="1" operator="lessThan">
      <formula>".08-09"</formula>
    </cfRule>
  </conditionalFormatting>
  <conditionalFormatting sqref="O34">
    <cfRule type="cellIs" dxfId="149" priority="29" stopIfTrue="1" operator="lessThan">
      <formula>".08-09"</formula>
    </cfRule>
  </conditionalFormatting>
  <conditionalFormatting sqref="M34">
    <cfRule type="cellIs" dxfId="148" priority="28" stopIfTrue="1" operator="lessThan">
      <formula>".08-09"</formula>
    </cfRule>
  </conditionalFormatting>
  <conditionalFormatting sqref="M131 O131">
    <cfRule type="cellIs" dxfId="147" priority="27" stopIfTrue="1" operator="lessThan">
      <formula>".08-09"</formula>
    </cfRule>
  </conditionalFormatting>
  <conditionalFormatting sqref="M136 O136">
    <cfRule type="cellIs" dxfId="146" priority="26" stopIfTrue="1" operator="lessThan">
      <formula>".08-09"</formula>
    </cfRule>
  </conditionalFormatting>
  <conditionalFormatting sqref="M141 O141">
    <cfRule type="cellIs" dxfId="145" priority="25" stopIfTrue="1" operator="lessThan">
      <formula>".08-09"</formula>
    </cfRule>
  </conditionalFormatting>
  <conditionalFormatting sqref="M147">
    <cfRule type="cellIs" dxfId="144" priority="24" stopIfTrue="1" operator="lessThan">
      <formula>".08-09"</formula>
    </cfRule>
  </conditionalFormatting>
  <conditionalFormatting sqref="O147">
    <cfRule type="cellIs" dxfId="143" priority="23" stopIfTrue="1" operator="lessThan">
      <formula>".08-09"</formula>
    </cfRule>
  </conditionalFormatting>
  <conditionalFormatting sqref="O148">
    <cfRule type="cellIs" dxfId="142" priority="22" stopIfTrue="1" operator="lessThan">
      <formula>".08-09"</formula>
    </cfRule>
  </conditionalFormatting>
  <conditionalFormatting sqref="M124 O124">
    <cfRule type="cellIs" dxfId="141" priority="21" stopIfTrue="1" operator="lessThan">
      <formula>".08-09"</formula>
    </cfRule>
  </conditionalFormatting>
  <conditionalFormatting sqref="M125 O125">
    <cfRule type="cellIs" dxfId="140" priority="20" stopIfTrue="1" operator="lessThan">
      <formula>".08-09"</formula>
    </cfRule>
  </conditionalFormatting>
  <conditionalFormatting sqref="O122">
    <cfRule type="cellIs" dxfId="139" priority="14" stopIfTrue="1" operator="lessThan">
      <formula>".08-09"</formula>
    </cfRule>
  </conditionalFormatting>
  <conditionalFormatting sqref="M122">
    <cfRule type="cellIs" dxfId="138" priority="13" stopIfTrue="1" operator="lessThan">
      <formula>".08-09"</formula>
    </cfRule>
  </conditionalFormatting>
  <conditionalFormatting sqref="M145 O145">
    <cfRule type="cellIs" dxfId="137" priority="12" stopIfTrue="1" operator="lessThan">
      <formula>".08-09"</formula>
    </cfRule>
  </conditionalFormatting>
  <conditionalFormatting sqref="M135 O135">
    <cfRule type="cellIs" dxfId="136" priority="11" stopIfTrue="1" operator="lessThan">
      <formula>".08-09"</formula>
    </cfRule>
  </conditionalFormatting>
  <conditionalFormatting sqref="O93 M93">
    <cfRule type="cellIs" dxfId="135" priority="10" stopIfTrue="1" operator="lessThan">
      <formula>".08-09"</formula>
    </cfRule>
  </conditionalFormatting>
  <conditionalFormatting sqref="O86 M86">
    <cfRule type="cellIs" dxfId="134" priority="9" stopIfTrue="1" operator="lessThan">
      <formula>".08-09"</formula>
    </cfRule>
  </conditionalFormatting>
  <conditionalFormatting sqref="M79 O79">
    <cfRule type="cellIs" dxfId="133" priority="8" stopIfTrue="1" operator="lessThan">
      <formula>".08-09"</formula>
    </cfRule>
  </conditionalFormatting>
  <conditionalFormatting sqref="O121">
    <cfRule type="cellIs" dxfId="132" priority="7" stopIfTrue="1" operator="lessThan">
      <formula>".08-09"</formula>
    </cfRule>
  </conditionalFormatting>
  <conditionalFormatting sqref="M121">
    <cfRule type="cellIs" dxfId="131" priority="6" stopIfTrue="1" operator="lessThan">
      <formula>".08-09"</formula>
    </cfRule>
  </conditionalFormatting>
  <conditionalFormatting sqref="O33 M33">
    <cfRule type="cellIs" dxfId="130" priority="5" stopIfTrue="1" operator="lessThan">
      <formula>".08-09"</formula>
    </cfRule>
  </conditionalFormatting>
  <conditionalFormatting sqref="O27 M27">
    <cfRule type="cellIs" dxfId="129" priority="4" stopIfTrue="1" operator="lessThan">
      <formula>".08-09"</formula>
    </cfRule>
  </conditionalFormatting>
  <conditionalFormatting sqref="O138 M138">
    <cfRule type="cellIs" dxfId="128" priority="2" stopIfTrue="1" operator="lessThan">
      <formula>".08-09"</formula>
    </cfRule>
  </conditionalFormatting>
  <conditionalFormatting sqref="O7 M7">
    <cfRule type="cellIs" dxfId="127"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4" manualBreakCount="4">
    <brk id="44" max="16383" man="1"/>
    <brk id="75" max="16383" man="1"/>
    <brk id="110" max="16383" man="1"/>
    <brk id="1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47"/>
  <sheetViews>
    <sheetView view="pageLayout" zoomScaleNormal="100" workbookViewId="0"/>
  </sheetViews>
  <sheetFormatPr defaultRowHeight="12.6" customHeight="1"/>
  <cols>
    <col min="1" max="1" width="8.140625" style="55" customWidth="1"/>
    <col min="2" max="2" width="23.85546875" style="55" customWidth="1"/>
    <col min="3" max="3" width="6.42578125" style="11" customWidth="1"/>
    <col min="4" max="4" width="4.7109375" style="56" customWidth="1"/>
    <col min="5" max="5" width="5.28515625" style="11" customWidth="1"/>
    <col min="6" max="6" width="4.7109375" style="12" customWidth="1"/>
    <col min="7" max="7" width="4.7109375" style="25" customWidth="1"/>
    <col min="8" max="8" width="4.7109375" style="26" customWidth="1"/>
    <col min="9" max="10" width="4.7109375" style="11" customWidth="1"/>
    <col min="11" max="11" width="5.7109375" style="11" customWidth="1"/>
    <col min="12" max="17" width="5.28515625" style="11" customWidth="1"/>
    <col min="18" max="18" width="6.42578125" style="11" customWidth="1"/>
    <col min="19" max="20" width="5.28515625" style="11" customWidth="1"/>
    <col min="21" max="21" width="6.42578125" style="11" customWidth="1"/>
    <col min="22" max="22" width="3.140625" style="11" customWidth="1"/>
    <col min="23" max="16384" width="9.140625" style="5"/>
  </cols>
  <sheetData>
    <row r="1" spans="1:22" ht="12.6" customHeight="1">
      <c r="A1" s="14" t="str">
        <f>i!A1</f>
        <v>Lens$db: Lens Price database</v>
      </c>
      <c r="B1" s="15"/>
      <c r="C1" s="6" t="s">
        <v>16</v>
      </c>
      <c r="D1" s="15" t="s">
        <v>16</v>
      </c>
      <c r="E1" s="6" t="s">
        <v>16</v>
      </c>
      <c r="F1" s="15" t="s">
        <v>16</v>
      </c>
      <c r="G1" s="25" t="s">
        <v>16</v>
      </c>
      <c r="H1" s="26" t="s">
        <v>16</v>
      </c>
      <c r="I1" s="11" t="s">
        <v>16</v>
      </c>
      <c r="J1" s="54" t="s">
        <v>16</v>
      </c>
      <c r="K1" s="11" t="s">
        <v>16</v>
      </c>
      <c r="L1" s="2" t="s">
        <v>16</v>
      </c>
      <c r="M1" s="2" t="s">
        <v>16</v>
      </c>
      <c r="N1" s="2" t="s">
        <v>16</v>
      </c>
      <c r="O1" s="2" t="s">
        <v>16</v>
      </c>
      <c r="P1" s="2" t="s">
        <v>16</v>
      </c>
      <c r="Q1" s="5" t="str">
        <f>i!B3</f>
        <v>.2016-02-01</v>
      </c>
      <c r="S1" s="13"/>
      <c r="T1" s="2" t="s">
        <v>16</v>
      </c>
      <c r="U1" s="11" t="s">
        <v>16</v>
      </c>
    </row>
    <row r="2" spans="1:22" ht="12.6" customHeight="1">
      <c r="A2" s="17" t="str">
        <f>i!A3</f>
        <v>v.30</v>
      </c>
      <c r="B2" s="55" t="s">
        <v>1074</v>
      </c>
      <c r="F2" s="16"/>
      <c r="G2" s="38"/>
      <c r="H2" s="69"/>
      <c r="I2" s="2"/>
      <c r="J2" s="37"/>
      <c r="K2" s="2"/>
      <c r="L2" s="2"/>
      <c r="M2" s="3"/>
      <c r="N2" s="27"/>
      <c r="O2" s="3"/>
      <c r="P2" s="27"/>
      <c r="Q2" s="3"/>
      <c r="R2" s="27"/>
      <c r="S2" s="27"/>
      <c r="T2" s="3"/>
      <c r="U2" s="44"/>
    </row>
    <row r="3" spans="1:22" s="15" customFormat="1" ht="12.6" customHeight="1">
      <c r="A3" s="17" t="s">
        <v>16</v>
      </c>
      <c r="B3" s="15" t="s">
        <v>16</v>
      </c>
      <c r="C3" s="28" t="s">
        <v>16</v>
      </c>
      <c r="D3" s="136" t="s">
        <v>16</v>
      </c>
      <c r="E3" s="28" t="s">
        <v>16</v>
      </c>
      <c r="F3" s="137" t="s">
        <v>16</v>
      </c>
      <c r="G3" s="30" t="s">
        <v>16</v>
      </c>
      <c r="H3" s="30" t="s">
        <v>16</v>
      </c>
      <c r="I3" s="30" t="s">
        <v>16</v>
      </c>
      <c r="J3" s="27" t="s">
        <v>16</v>
      </c>
      <c r="K3" s="30" t="s">
        <v>16</v>
      </c>
      <c r="L3" s="138" t="s">
        <v>16</v>
      </c>
      <c r="M3" s="34" t="s">
        <v>16</v>
      </c>
      <c r="N3" s="34" t="s">
        <v>17</v>
      </c>
      <c r="O3" s="34" t="s">
        <v>16</v>
      </c>
      <c r="P3" s="139" t="s">
        <v>16</v>
      </c>
      <c r="Q3" s="140" t="s">
        <v>16</v>
      </c>
      <c r="R3" s="153" t="s">
        <v>18</v>
      </c>
      <c r="S3" s="34"/>
      <c r="T3" s="34" t="s">
        <v>16</v>
      </c>
      <c r="U3" s="36" t="s">
        <v>16</v>
      </c>
      <c r="V3" s="148"/>
    </row>
    <row r="4" spans="1:22" s="17" customFormat="1" ht="12.6" customHeight="1">
      <c r="A4" s="15" t="s">
        <v>368</v>
      </c>
      <c r="B4" s="15"/>
      <c r="C4" s="2" t="s">
        <v>6</v>
      </c>
      <c r="D4" s="3" t="s">
        <v>11</v>
      </c>
      <c r="E4" s="16" t="s">
        <v>909</v>
      </c>
      <c r="F4" s="154" t="s">
        <v>13</v>
      </c>
      <c r="G4" s="39" t="s">
        <v>329</v>
      </c>
      <c r="H4" s="69" t="s">
        <v>7</v>
      </c>
      <c r="I4" s="2" t="s">
        <v>380</v>
      </c>
      <c r="J4" s="2" t="s">
        <v>381</v>
      </c>
      <c r="K4" s="41" t="s">
        <v>382</v>
      </c>
      <c r="L4" s="42" t="s">
        <v>576</v>
      </c>
      <c r="M4" s="43"/>
      <c r="N4" s="44" t="s">
        <v>19</v>
      </c>
      <c r="O4" s="27"/>
      <c r="P4" s="143"/>
      <c r="Q4" s="34" t="s">
        <v>577</v>
      </c>
      <c r="R4" s="53"/>
      <c r="S4" s="144"/>
      <c r="T4" s="41" t="s">
        <v>9</v>
      </c>
      <c r="U4" s="41"/>
      <c r="V4" s="2"/>
    </row>
    <row r="5" spans="1:22" s="17" customFormat="1" ht="12.6" customHeight="1">
      <c r="A5" s="48" t="s">
        <v>16</v>
      </c>
      <c r="B5" s="48" t="s">
        <v>16</v>
      </c>
      <c r="C5" s="27" t="s">
        <v>20</v>
      </c>
      <c r="D5" s="64" t="s">
        <v>16</v>
      </c>
      <c r="E5" s="27" t="s">
        <v>16</v>
      </c>
      <c r="F5" s="145" t="s">
        <v>16</v>
      </c>
      <c r="G5" s="50" t="s">
        <v>37</v>
      </c>
      <c r="H5" s="31" t="s">
        <v>21</v>
      </c>
      <c r="I5" s="27" t="s">
        <v>20</v>
      </c>
      <c r="J5" s="27" t="s">
        <v>20</v>
      </c>
      <c r="K5" s="43" t="s">
        <v>20</v>
      </c>
      <c r="L5" s="52" t="s">
        <v>22</v>
      </c>
      <c r="M5" s="43" t="s">
        <v>23</v>
      </c>
      <c r="N5" s="27" t="s">
        <v>22</v>
      </c>
      <c r="O5" s="27" t="s">
        <v>23</v>
      </c>
      <c r="P5" s="52" t="s">
        <v>22</v>
      </c>
      <c r="Q5" s="27" t="s">
        <v>23</v>
      </c>
      <c r="R5" s="43" t="s">
        <v>24</v>
      </c>
      <c r="S5" s="46" t="s">
        <v>22</v>
      </c>
      <c r="T5" s="34" t="s">
        <v>23</v>
      </c>
      <c r="U5" s="53" t="s">
        <v>24</v>
      </c>
      <c r="V5" s="2"/>
    </row>
    <row r="6" spans="1:22" s="17" customFormat="1" ht="12.6" customHeight="1">
      <c r="A6" s="97" t="s">
        <v>403</v>
      </c>
      <c r="B6" s="98"/>
      <c r="C6" s="34" t="s">
        <v>16</v>
      </c>
      <c r="D6" s="99" t="s">
        <v>16</v>
      </c>
      <c r="E6" s="34" t="s">
        <v>16</v>
      </c>
      <c r="F6" s="100" t="s">
        <v>16</v>
      </c>
      <c r="G6" s="101" t="s">
        <v>16</v>
      </c>
      <c r="H6" s="102" t="s">
        <v>16</v>
      </c>
      <c r="I6" s="34" t="s">
        <v>16</v>
      </c>
      <c r="J6" s="34" t="s">
        <v>16</v>
      </c>
      <c r="K6" s="34" t="s">
        <v>16</v>
      </c>
      <c r="L6" s="34" t="s">
        <v>16</v>
      </c>
      <c r="M6" s="34" t="s">
        <v>16</v>
      </c>
      <c r="N6" s="34" t="s">
        <v>16</v>
      </c>
      <c r="O6" s="34" t="s">
        <v>16</v>
      </c>
      <c r="P6" s="34" t="s">
        <v>16</v>
      </c>
      <c r="Q6" s="34" t="s">
        <v>16</v>
      </c>
      <c r="R6" s="34" t="s">
        <v>16</v>
      </c>
      <c r="S6" s="34" t="s">
        <v>16</v>
      </c>
      <c r="T6" s="34" t="s">
        <v>16</v>
      </c>
      <c r="U6" s="34" t="s">
        <v>16</v>
      </c>
    </row>
    <row r="7" spans="1:22" ht="12.6" customHeight="1">
      <c r="A7" s="55" t="s">
        <v>267</v>
      </c>
      <c r="B7" s="55" t="s">
        <v>327</v>
      </c>
      <c r="C7" s="11">
        <v>24</v>
      </c>
      <c r="D7" s="56" t="s">
        <v>141</v>
      </c>
      <c r="E7" s="41">
        <f t="shared" ref="E7:E28" si="0">1.6*C7</f>
        <v>38.400000000000006</v>
      </c>
      <c r="F7" s="57" t="s">
        <v>266</v>
      </c>
      <c r="G7" s="25">
        <v>0.3</v>
      </c>
      <c r="H7" s="26">
        <v>0.78500000000000003</v>
      </c>
      <c r="I7" s="11">
        <v>82</v>
      </c>
      <c r="J7" s="11">
        <v>100</v>
      </c>
      <c r="K7" s="41" t="s">
        <v>143</v>
      </c>
      <c r="L7" s="58">
        <f>AVERAGE(697,500,700,700,796,579,799,725)</f>
        <v>687</v>
      </c>
      <c r="M7" s="59" t="s">
        <v>1072</v>
      </c>
      <c r="N7" s="58">
        <f>AVERAGE(950,1348)</f>
        <v>1149</v>
      </c>
      <c r="O7" s="59" t="s">
        <v>981</v>
      </c>
      <c r="P7" s="58">
        <v>1169</v>
      </c>
      <c r="Q7" s="2" t="s">
        <v>981</v>
      </c>
      <c r="R7" s="41" t="s">
        <v>30</v>
      </c>
      <c r="S7" s="147">
        <v>1480</v>
      </c>
      <c r="T7" s="2" t="s">
        <v>863</v>
      </c>
      <c r="U7" s="41" t="s">
        <v>30</v>
      </c>
    </row>
    <row r="8" spans="1:22" ht="12.6" customHeight="1">
      <c r="A8" s="55" t="s">
        <v>267</v>
      </c>
      <c r="B8" s="55" t="s">
        <v>297</v>
      </c>
      <c r="C8" s="11">
        <v>35</v>
      </c>
      <c r="D8" s="56">
        <v>3.5</v>
      </c>
      <c r="E8" s="41">
        <f t="shared" si="0"/>
        <v>56</v>
      </c>
      <c r="F8" s="57" t="s">
        <v>266</v>
      </c>
      <c r="G8" s="25">
        <v>0.45</v>
      </c>
      <c r="H8" s="26">
        <v>0.44500000000000001</v>
      </c>
      <c r="I8" s="11">
        <v>61</v>
      </c>
      <c r="J8" s="11">
        <v>80</v>
      </c>
      <c r="K8" s="41">
        <v>77</v>
      </c>
      <c r="L8" s="58">
        <f>AVERAGE(220,225,198,245,225,187,195,183,189,243)</f>
        <v>211</v>
      </c>
      <c r="M8" s="59" t="s">
        <v>1045</v>
      </c>
      <c r="N8" s="58">
        <f>AVERAGE(280,262,270,283,278,325,299)</f>
        <v>285.28571428571428</v>
      </c>
      <c r="O8" s="59" t="s">
        <v>1045</v>
      </c>
      <c r="P8" s="58">
        <v>390</v>
      </c>
      <c r="Q8" s="2" t="s">
        <v>1072</v>
      </c>
      <c r="R8" s="41" t="s">
        <v>32</v>
      </c>
      <c r="S8" s="58">
        <v>225</v>
      </c>
      <c r="T8" s="2" t="s">
        <v>1072</v>
      </c>
      <c r="U8" s="41" t="s">
        <v>28</v>
      </c>
    </row>
    <row r="9" spans="1:22" ht="12.6" customHeight="1">
      <c r="A9" s="55" t="s">
        <v>267</v>
      </c>
      <c r="B9" s="55" t="s">
        <v>298</v>
      </c>
      <c r="C9" s="11">
        <v>45</v>
      </c>
      <c r="D9" s="56" t="s">
        <v>175</v>
      </c>
      <c r="E9" s="41">
        <f t="shared" si="0"/>
        <v>72</v>
      </c>
      <c r="F9" s="57" t="s">
        <v>266</v>
      </c>
      <c r="G9" s="25">
        <v>0.45</v>
      </c>
      <c r="H9" s="26">
        <v>0.47499999999999998</v>
      </c>
      <c r="I9" s="11">
        <v>70</v>
      </c>
      <c r="J9" s="11">
        <v>70.5</v>
      </c>
      <c r="K9" s="41">
        <v>67</v>
      </c>
      <c r="L9" s="58">
        <f>AVERAGE(140,159,120,200,132,163,158,140,138,141)</f>
        <v>149.1</v>
      </c>
      <c r="M9" s="59" t="s">
        <v>1072</v>
      </c>
      <c r="N9" s="58">
        <f>AVERAGE(165,175,189,150,225,285,229,214,225)</f>
        <v>206.33333333333334</v>
      </c>
      <c r="O9" s="59" t="s">
        <v>1072</v>
      </c>
      <c r="P9" s="58">
        <v>200</v>
      </c>
      <c r="Q9" s="2" t="s">
        <v>1072</v>
      </c>
      <c r="R9" s="41" t="s">
        <v>30</v>
      </c>
      <c r="S9" s="58">
        <v>380</v>
      </c>
      <c r="T9" s="2" t="s">
        <v>816</v>
      </c>
      <c r="U9" s="41" t="s">
        <v>32</v>
      </c>
    </row>
    <row r="10" spans="1:22" ht="12.6" customHeight="1">
      <c r="A10" s="55" t="s">
        <v>267</v>
      </c>
      <c r="B10" s="55" t="s">
        <v>299</v>
      </c>
      <c r="C10" s="11">
        <v>50</v>
      </c>
      <c r="D10" s="56">
        <v>4</v>
      </c>
      <c r="E10" s="41">
        <f t="shared" si="0"/>
        <v>80</v>
      </c>
      <c r="F10" s="57" t="s">
        <v>266</v>
      </c>
      <c r="G10" s="25">
        <v>0.45</v>
      </c>
      <c r="H10" s="26">
        <v>0.73499999999999999</v>
      </c>
      <c r="I10" s="11">
        <v>105</v>
      </c>
      <c r="J10" s="11">
        <v>80</v>
      </c>
      <c r="K10" s="41">
        <v>77</v>
      </c>
      <c r="L10" s="58">
        <f>AVERAGE(400,400,438,340,420,420,439,420,400,480,350,459,360)</f>
        <v>409.69230769230768</v>
      </c>
      <c r="M10" s="59" t="s">
        <v>1033</v>
      </c>
      <c r="N10" s="58">
        <f>AVERAGE(500,432,439,475,550,650,575)</f>
        <v>517.28571428571433</v>
      </c>
      <c r="O10" s="59" t="s">
        <v>1072</v>
      </c>
      <c r="P10" s="58">
        <v>395</v>
      </c>
      <c r="Q10" s="2" t="s">
        <v>1072</v>
      </c>
      <c r="R10" s="41" t="s">
        <v>28</v>
      </c>
      <c r="S10" s="58">
        <v>600</v>
      </c>
      <c r="T10" s="2" t="s">
        <v>878</v>
      </c>
      <c r="U10" s="41" t="s">
        <v>32</v>
      </c>
    </row>
    <row r="11" spans="1:22" ht="12.6" customHeight="1">
      <c r="A11" s="55" t="s">
        <v>267</v>
      </c>
      <c r="B11" s="55" t="s">
        <v>300</v>
      </c>
      <c r="C11" s="11">
        <v>55</v>
      </c>
      <c r="D11" s="56" t="s">
        <v>175</v>
      </c>
      <c r="E11" s="41">
        <f t="shared" si="0"/>
        <v>88</v>
      </c>
      <c r="F11" s="57" t="s">
        <v>266</v>
      </c>
      <c r="G11" s="25">
        <v>0.45</v>
      </c>
      <c r="H11" s="26">
        <v>0.30499999999999999</v>
      </c>
      <c r="I11" s="11">
        <v>59</v>
      </c>
      <c r="J11" s="11">
        <v>70</v>
      </c>
      <c r="K11" s="41">
        <v>58</v>
      </c>
      <c r="L11" s="58">
        <f>AVERAGE(120,149,137,109,139,120,112,109,110)</f>
        <v>122.77777777777777</v>
      </c>
      <c r="M11" s="59" t="s">
        <v>1072</v>
      </c>
      <c r="N11" s="58">
        <f>AVERAGE(189,150,162,172,189,170,175,170,179,175,179)</f>
        <v>173.63636363636363</v>
      </c>
      <c r="O11" s="59" t="s">
        <v>1027</v>
      </c>
      <c r="P11" s="58">
        <v>133</v>
      </c>
      <c r="Q11" s="2" t="s">
        <v>1072</v>
      </c>
      <c r="R11" s="41" t="s">
        <v>30</v>
      </c>
      <c r="S11" s="58">
        <v>170</v>
      </c>
      <c r="T11" s="2" t="s">
        <v>1072</v>
      </c>
      <c r="U11" s="41" t="s">
        <v>32</v>
      </c>
    </row>
    <row r="12" spans="1:22" ht="12.6" customHeight="1">
      <c r="A12" s="55" t="s">
        <v>267</v>
      </c>
      <c r="B12" s="55" t="s">
        <v>309</v>
      </c>
      <c r="C12" s="11">
        <v>80</v>
      </c>
      <c r="D12" s="56" t="s">
        <v>269</v>
      </c>
      <c r="E12" s="41">
        <f>1.6*C12</f>
        <v>128</v>
      </c>
      <c r="F12" s="57" t="s">
        <v>266</v>
      </c>
      <c r="G12" s="25">
        <v>0.7</v>
      </c>
      <c r="H12" s="26">
        <v>0.42</v>
      </c>
      <c r="I12" s="11">
        <v>59</v>
      </c>
      <c r="J12" s="11">
        <v>75.5</v>
      </c>
      <c r="K12" s="41">
        <v>67</v>
      </c>
      <c r="L12" s="58">
        <f>AVERAGE(218,238,199,188,219,218,205)</f>
        <v>212.14285714285714</v>
      </c>
      <c r="M12" s="59" t="s">
        <v>1072</v>
      </c>
      <c r="N12" s="58">
        <f>AVERAGE(290,299,255,319,299,300)</f>
        <v>293.66666666666669</v>
      </c>
      <c r="O12" s="59" t="s">
        <v>1072</v>
      </c>
      <c r="P12" s="58">
        <v>225</v>
      </c>
      <c r="Q12" s="2" t="s">
        <v>1072</v>
      </c>
      <c r="R12" s="41" t="s">
        <v>28</v>
      </c>
      <c r="S12" s="58" t="s">
        <v>16</v>
      </c>
      <c r="T12" s="2" t="s">
        <v>16</v>
      </c>
      <c r="U12" s="41" t="s">
        <v>16</v>
      </c>
    </row>
    <row r="13" spans="1:22" ht="12.6" customHeight="1">
      <c r="A13" s="55" t="s">
        <v>267</v>
      </c>
      <c r="B13" s="55" t="s">
        <v>328</v>
      </c>
      <c r="C13" s="11">
        <v>80</v>
      </c>
      <c r="D13" s="56" t="s">
        <v>269</v>
      </c>
      <c r="E13" s="41">
        <f t="shared" si="0"/>
        <v>128</v>
      </c>
      <c r="F13" s="57" t="s">
        <v>266</v>
      </c>
      <c r="G13" s="25" t="s">
        <v>16</v>
      </c>
      <c r="H13" s="26" t="s">
        <v>16</v>
      </c>
      <c r="I13" s="11" t="s">
        <v>16</v>
      </c>
      <c r="J13" s="11" t="s">
        <v>16</v>
      </c>
      <c r="K13" s="41" t="s">
        <v>16</v>
      </c>
      <c r="L13" s="58">
        <f>AVERAGE(257,190,199,160,160,160,199,225)</f>
        <v>193.75</v>
      </c>
      <c r="M13" s="59" t="s">
        <v>1072</v>
      </c>
      <c r="N13" s="58">
        <f>AVERAGE(245,248,257,285,362,360)</f>
        <v>292.83333333333331</v>
      </c>
      <c r="O13" s="59" t="s">
        <v>1072</v>
      </c>
      <c r="P13" s="58">
        <v>450</v>
      </c>
      <c r="Q13" s="2" t="s">
        <v>1072</v>
      </c>
      <c r="R13" s="41" t="s">
        <v>30</v>
      </c>
      <c r="S13" s="58" t="s">
        <v>16</v>
      </c>
      <c r="T13" s="2" t="s">
        <v>16</v>
      </c>
      <c r="U13" s="41" t="s">
        <v>16</v>
      </c>
    </row>
    <row r="14" spans="1:22" ht="12.6" customHeight="1">
      <c r="A14" s="55" t="s">
        <v>267</v>
      </c>
      <c r="B14" s="55" t="s">
        <v>384</v>
      </c>
      <c r="C14" s="11">
        <v>80</v>
      </c>
      <c r="D14" s="56" t="s">
        <v>175</v>
      </c>
      <c r="E14" s="41">
        <f>1.6*C14</f>
        <v>128</v>
      </c>
      <c r="F14" s="57" t="s">
        <v>266</v>
      </c>
      <c r="G14" s="25">
        <v>0.7</v>
      </c>
      <c r="H14" s="26">
        <v>0.25</v>
      </c>
      <c r="I14" s="11">
        <v>47</v>
      </c>
      <c r="J14" s="11">
        <v>70</v>
      </c>
      <c r="K14" s="41">
        <v>58</v>
      </c>
      <c r="L14" s="58">
        <f>AVERAGE(41,45,50,85,59,61)</f>
        <v>56.833333333333336</v>
      </c>
      <c r="M14" s="59" t="s">
        <v>917</v>
      </c>
      <c r="N14" s="58">
        <f>AVERAGE(109,109,100,105,110)</f>
        <v>106.6</v>
      </c>
      <c r="O14" s="59" t="s">
        <v>970</v>
      </c>
      <c r="P14" s="58">
        <v>80</v>
      </c>
      <c r="Q14" s="2" t="s">
        <v>1072</v>
      </c>
      <c r="R14" s="41" t="s">
        <v>30</v>
      </c>
      <c r="S14" s="58" t="s">
        <v>16</v>
      </c>
      <c r="T14" s="2" t="s">
        <v>16</v>
      </c>
      <c r="U14" s="41" t="s">
        <v>16</v>
      </c>
    </row>
    <row r="15" spans="1:22" ht="12.6" customHeight="1">
      <c r="A15" s="55" t="s">
        <v>267</v>
      </c>
      <c r="B15" s="55" t="s">
        <v>301</v>
      </c>
      <c r="C15" s="11">
        <v>80</v>
      </c>
      <c r="D15" s="56" t="s">
        <v>175</v>
      </c>
      <c r="E15" s="41">
        <f t="shared" si="0"/>
        <v>128</v>
      </c>
      <c r="F15" s="57" t="s">
        <v>266</v>
      </c>
      <c r="G15" s="25">
        <v>0.7</v>
      </c>
      <c r="H15" s="26">
        <v>0.22</v>
      </c>
      <c r="I15" s="11">
        <v>43</v>
      </c>
      <c r="J15" s="11">
        <v>70</v>
      </c>
      <c r="K15" s="41">
        <v>58</v>
      </c>
      <c r="L15" s="58">
        <f>AVERAGE(76,119,92,108,109,108,100,89,75,77,100,98,103,110)</f>
        <v>97.428571428571431</v>
      </c>
      <c r="M15" s="59" t="s">
        <v>1027</v>
      </c>
      <c r="N15" s="58">
        <f>AVERAGE(126,140,148,190,170,149,119)</f>
        <v>148.85714285714286</v>
      </c>
      <c r="O15" s="59" t="s">
        <v>1072</v>
      </c>
      <c r="P15" s="58">
        <v>90</v>
      </c>
      <c r="Q15" s="2" t="s">
        <v>1072</v>
      </c>
      <c r="R15" s="41" t="s">
        <v>30</v>
      </c>
      <c r="S15" s="58">
        <v>120</v>
      </c>
      <c r="T15" s="2" t="s">
        <v>981</v>
      </c>
      <c r="U15" s="41" t="s">
        <v>30</v>
      </c>
    </row>
    <row r="16" spans="1:22" ht="11.25">
      <c r="A16" s="55" t="s">
        <v>267</v>
      </c>
      <c r="B16" s="55" t="s">
        <v>302</v>
      </c>
      <c r="C16" s="11">
        <v>80</v>
      </c>
      <c r="D16" s="56" t="s">
        <v>141</v>
      </c>
      <c r="E16" s="41">
        <f t="shared" si="0"/>
        <v>128</v>
      </c>
      <c r="F16" s="57" t="s">
        <v>266</v>
      </c>
      <c r="G16" s="25">
        <v>0.37</v>
      </c>
      <c r="H16" s="26">
        <v>0.58499999999999996</v>
      </c>
      <c r="I16" s="11">
        <v>75</v>
      </c>
      <c r="J16" s="11">
        <v>79</v>
      </c>
      <c r="K16" s="41">
        <v>67</v>
      </c>
      <c r="L16" s="58">
        <f>AVERAGE(124,110,148,165,130,150,121,108,145,160,115,160)</f>
        <v>136.33333333333334</v>
      </c>
      <c r="M16" s="59" t="s">
        <v>1072</v>
      </c>
      <c r="N16" s="58">
        <f>AVERAGE(207,200,197,190,260,225,203)</f>
        <v>211.71428571428572</v>
      </c>
      <c r="O16" s="59" t="s">
        <v>1045</v>
      </c>
      <c r="P16" s="58">
        <v>210</v>
      </c>
      <c r="Q16" s="2" t="s">
        <v>1072</v>
      </c>
      <c r="R16" s="41" t="s">
        <v>30</v>
      </c>
      <c r="S16" s="58">
        <v>275</v>
      </c>
      <c r="T16" s="2" t="s">
        <v>967</v>
      </c>
      <c r="U16" s="41" t="s">
        <v>28</v>
      </c>
    </row>
    <row r="17" spans="1:21" ht="11.25">
      <c r="A17" s="55" t="s">
        <v>267</v>
      </c>
      <c r="B17" s="55" t="s">
        <v>759</v>
      </c>
      <c r="C17" s="11">
        <v>110</v>
      </c>
      <c r="D17" s="56" t="s">
        <v>175</v>
      </c>
      <c r="E17" s="41">
        <f t="shared" si="0"/>
        <v>176</v>
      </c>
      <c r="F17" s="57" t="s">
        <v>266</v>
      </c>
      <c r="G17" s="25">
        <v>1.2</v>
      </c>
      <c r="H17" s="26">
        <v>0.39</v>
      </c>
      <c r="I17" s="11">
        <v>60</v>
      </c>
      <c r="J17" s="11">
        <v>70</v>
      </c>
      <c r="K17" s="41">
        <v>58</v>
      </c>
      <c r="L17" s="58">
        <f>AVERAGE(120,108,100,123,119,128,140,150,158,116)</f>
        <v>126.2</v>
      </c>
      <c r="M17" s="59" t="s">
        <v>1072</v>
      </c>
      <c r="N17" s="58">
        <f>AVERAGE(180,175,232,239,179)</f>
        <v>201</v>
      </c>
      <c r="O17" s="59" t="s">
        <v>927</v>
      </c>
      <c r="P17" s="58">
        <v>110</v>
      </c>
      <c r="Q17" s="2" t="s">
        <v>973</v>
      </c>
      <c r="R17" s="41" t="s">
        <v>30</v>
      </c>
      <c r="S17" s="58">
        <v>150</v>
      </c>
      <c r="T17" s="2" t="s">
        <v>1072</v>
      </c>
      <c r="U17" s="41" t="s">
        <v>32</v>
      </c>
    </row>
    <row r="18" spans="1:21" ht="12.6" customHeight="1">
      <c r="A18" s="55" t="s">
        <v>267</v>
      </c>
      <c r="B18" s="55" t="s">
        <v>549</v>
      </c>
      <c r="C18" s="11">
        <v>145</v>
      </c>
      <c r="D18" s="56" t="s">
        <v>141</v>
      </c>
      <c r="E18" s="41">
        <f>1.6*C18</f>
        <v>232</v>
      </c>
      <c r="F18" s="57" t="s">
        <v>266</v>
      </c>
      <c r="G18" s="25">
        <v>1.2</v>
      </c>
      <c r="H18" s="26">
        <v>0.9</v>
      </c>
      <c r="I18" s="11">
        <v>116</v>
      </c>
      <c r="J18" s="11">
        <v>80</v>
      </c>
      <c r="K18" s="41">
        <v>77</v>
      </c>
      <c r="L18" s="58">
        <f>AVERAGE(100,99,100,100,119,99,123,128,83,99,100)</f>
        <v>104.54545454545455</v>
      </c>
      <c r="M18" s="59" t="s">
        <v>1072</v>
      </c>
      <c r="N18" s="58">
        <f>AVERAGE(224.222,222,224,200,233,200,225,225,199)</f>
        <v>216.91355555555555</v>
      </c>
      <c r="O18" s="59" t="s">
        <v>1072</v>
      </c>
      <c r="P18" s="58">
        <v>170</v>
      </c>
      <c r="Q18" s="2" t="s">
        <v>981</v>
      </c>
      <c r="R18" s="41" t="s">
        <v>33</v>
      </c>
      <c r="S18" s="58">
        <v>400</v>
      </c>
      <c r="T18" s="2" t="s">
        <v>1072</v>
      </c>
      <c r="U18" s="41" t="s">
        <v>32</v>
      </c>
    </row>
    <row r="19" spans="1:21" ht="12.6" customHeight="1">
      <c r="A19" s="55" t="s">
        <v>267</v>
      </c>
      <c r="B19" s="55" t="s">
        <v>303</v>
      </c>
      <c r="C19" s="11">
        <v>150</v>
      </c>
      <c r="D19" s="56">
        <v>3.5</v>
      </c>
      <c r="E19" s="41">
        <f t="shared" si="0"/>
        <v>240</v>
      </c>
      <c r="F19" s="57" t="s">
        <v>266</v>
      </c>
      <c r="G19" s="25">
        <v>1.5</v>
      </c>
      <c r="H19" s="26">
        <v>0.41499999999999998</v>
      </c>
      <c r="I19" s="11">
        <v>80</v>
      </c>
      <c r="J19" s="11">
        <v>70</v>
      </c>
      <c r="K19" s="41">
        <v>58</v>
      </c>
      <c r="L19" s="58">
        <f>AVERAGE(105,100,110,127,104,100,119,100)</f>
        <v>108.125</v>
      </c>
      <c r="M19" s="59" t="s">
        <v>1072</v>
      </c>
      <c r="N19" s="58">
        <f>AVERAGE(205,138,250,130,142,133,130,125,120)</f>
        <v>152.55555555555554</v>
      </c>
      <c r="O19" s="59" t="s">
        <v>967</v>
      </c>
      <c r="P19" s="58">
        <f>99*CA.US</f>
        <v>69.3</v>
      </c>
      <c r="Q19" s="2" t="s">
        <v>1072</v>
      </c>
      <c r="R19" s="41" t="s">
        <v>758</v>
      </c>
      <c r="S19" s="58">
        <v>130</v>
      </c>
      <c r="T19" s="2" t="s">
        <v>1072</v>
      </c>
      <c r="U19" s="41" t="s">
        <v>32</v>
      </c>
    </row>
    <row r="20" spans="1:21" ht="12.6" customHeight="1">
      <c r="A20" s="55" t="s">
        <v>267</v>
      </c>
      <c r="B20" s="55" t="s">
        <v>304</v>
      </c>
      <c r="C20" s="11">
        <v>210</v>
      </c>
      <c r="D20" s="56">
        <v>4</v>
      </c>
      <c r="E20" s="41">
        <f t="shared" si="0"/>
        <v>336</v>
      </c>
      <c r="F20" s="57" t="s">
        <v>266</v>
      </c>
      <c r="G20" s="25">
        <v>2.5</v>
      </c>
      <c r="H20" s="26">
        <v>0.71499999999999997</v>
      </c>
      <c r="I20" s="11">
        <v>137</v>
      </c>
      <c r="J20" s="11">
        <v>70</v>
      </c>
      <c r="K20" s="41">
        <v>58</v>
      </c>
      <c r="L20" s="58">
        <f>AVERAGE(70,102,105,55,68,89,70,118,100,120)</f>
        <v>89.7</v>
      </c>
      <c r="M20" s="59" t="s">
        <v>1027</v>
      </c>
      <c r="N20" s="58">
        <f>AVERAGE(135,120,135,210,145,145,125)</f>
        <v>145</v>
      </c>
      <c r="O20" s="59" t="s">
        <v>1072</v>
      </c>
      <c r="P20" s="58">
        <v>62</v>
      </c>
      <c r="Q20" s="2" t="s">
        <v>1072</v>
      </c>
      <c r="R20" s="41" t="s">
        <v>30</v>
      </c>
      <c r="S20" s="58">
        <v>270</v>
      </c>
      <c r="T20" s="2" t="s">
        <v>631</v>
      </c>
      <c r="U20" s="41" t="s">
        <v>32</v>
      </c>
    </row>
    <row r="21" spans="1:21" ht="12.6" customHeight="1">
      <c r="A21" s="55" t="s">
        <v>267</v>
      </c>
      <c r="B21" s="55" t="s">
        <v>342</v>
      </c>
      <c r="C21" s="11">
        <v>300</v>
      </c>
      <c r="D21" s="56">
        <v>5.6</v>
      </c>
      <c r="E21" s="41">
        <f t="shared" si="0"/>
        <v>480</v>
      </c>
      <c r="F21" s="57" t="s">
        <v>266</v>
      </c>
      <c r="G21" s="25">
        <v>4</v>
      </c>
      <c r="H21" s="26">
        <v>0.7</v>
      </c>
      <c r="I21" s="11">
        <v>164</v>
      </c>
      <c r="J21" s="11">
        <v>71</v>
      </c>
      <c r="K21" s="41">
        <v>58</v>
      </c>
      <c r="L21" s="58">
        <f>AVERAGE(114,100,137,120,179,145)</f>
        <v>132.5</v>
      </c>
      <c r="M21" s="59" t="s">
        <v>1072</v>
      </c>
      <c r="N21" s="58">
        <f>AVERAGE(150,200)</f>
        <v>175</v>
      </c>
      <c r="O21" s="59" t="s">
        <v>1072</v>
      </c>
      <c r="P21" s="58">
        <v>350</v>
      </c>
      <c r="Q21" s="2" t="s">
        <v>1072</v>
      </c>
      <c r="R21" s="41" t="s">
        <v>32</v>
      </c>
      <c r="S21" s="58">
        <v>400</v>
      </c>
      <c r="T21" s="2" t="s">
        <v>816</v>
      </c>
      <c r="U21" s="41" t="s">
        <v>32</v>
      </c>
    </row>
    <row r="22" spans="1:21" ht="12.6" customHeight="1">
      <c r="A22" s="55" t="s">
        <v>267</v>
      </c>
      <c r="B22" s="55" t="s">
        <v>343</v>
      </c>
      <c r="C22" s="11">
        <v>500</v>
      </c>
      <c r="D22" s="56">
        <v>5.6</v>
      </c>
      <c r="E22" s="41">
        <f t="shared" ref="E22" si="1">1.6*C22</f>
        <v>800</v>
      </c>
      <c r="F22" s="57" t="s">
        <v>266</v>
      </c>
      <c r="G22" s="25">
        <v>9</v>
      </c>
      <c r="H22" s="26">
        <v>2.2799999999999998</v>
      </c>
      <c r="I22" s="11">
        <v>358</v>
      </c>
      <c r="J22" s="11">
        <v>114</v>
      </c>
      <c r="K22" s="41">
        <v>105</v>
      </c>
      <c r="L22" s="58">
        <f>AVERAGE(278,290,260,199,289)</f>
        <v>263.2</v>
      </c>
      <c r="M22" s="59" t="s">
        <v>1072</v>
      </c>
      <c r="N22" s="58">
        <f>AVERAGE(330,295,275,460,479,489)</f>
        <v>388</v>
      </c>
      <c r="O22" s="59" t="s">
        <v>1072</v>
      </c>
      <c r="P22" s="58">
        <v>400</v>
      </c>
      <c r="Q22" s="2" t="s">
        <v>981</v>
      </c>
      <c r="R22" s="41" t="s">
        <v>33</v>
      </c>
      <c r="S22" s="58">
        <v>700</v>
      </c>
      <c r="T22" s="2" t="s">
        <v>816</v>
      </c>
      <c r="U22" s="41" t="s">
        <v>32</v>
      </c>
    </row>
    <row r="23" spans="1:21" ht="12.6" customHeight="1">
      <c r="A23" s="60" t="s">
        <v>267</v>
      </c>
      <c r="B23" s="60" t="s">
        <v>971</v>
      </c>
      <c r="C23" s="27">
        <v>500</v>
      </c>
      <c r="D23" s="64">
        <v>8</v>
      </c>
      <c r="E23" s="43">
        <f t="shared" si="0"/>
        <v>800</v>
      </c>
      <c r="F23" s="62" t="s">
        <v>266</v>
      </c>
      <c r="G23" s="50">
        <v>4</v>
      </c>
      <c r="H23" s="31">
        <v>0.88300000000000001</v>
      </c>
      <c r="I23" s="27">
        <v>163</v>
      </c>
      <c r="J23" s="27" t="s">
        <v>16</v>
      </c>
      <c r="K23" s="43" t="s">
        <v>16</v>
      </c>
      <c r="L23" s="52">
        <f>AVERAGE(225)</f>
        <v>225</v>
      </c>
      <c r="M23" s="155" t="s">
        <v>973</v>
      </c>
      <c r="N23" s="52">
        <f>AVERAGE(351,367,392)</f>
        <v>370</v>
      </c>
      <c r="O23" s="63" t="s">
        <v>1013</v>
      </c>
      <c r="P23" s="52" t="s">
        <v>16</v>
      </c>
      <c r="Q23" s="27" t="s">
        <v>16</v>
      </c>
      <c r="R23" s="43" t="s">
        <v>16</v>
      </c>
      <c r="S23" s="52" t="s">
        <v>16</v>
      </c>
      <c r="T23" s="27" t="s">
        <v>16</v>
      </c>
      <c r="U23" s="43" t="s">
        <v>16</v>
      </c>
    </row>
    <row r="24" spans="1:21" ht="12.6" customHeight="1">
      <c r="A24" s="55" t="s">
        <v>267</v>
      </c>
      <c r="B24" s="55" t="s">
        <v>678</v>
      </c>
      <c r="C24" s="11">
        <v>120</v>
      </c>
      <c r="D24" s="56" t="s">
        <v>141</v>
      </c>
      <c r="E24" s="41">
        <f t="shared" si="0"/>
        <v>192</v>
      </c>
      <c r="F24" s="57" t="s">
        <v>266</v>
      </c>
      <c r="G24" s="25">
        <v>0.4</v>
      </c>
      <c r="H24" s="26">
        <v>0.745</v>
      </c>
      <c r="I24" s="11">
        <v>111</v>
      </c>
      <c r="J24" s="11">
        <v>77.400000000000006</v>
      </c>
      <c r="K24" s="41">
        <v>67</v>
      </c>
      <c r="L24" s="58">
        <f>AVERAGE(216,284,280,268,280,255,250,255)</f>
        <v>261</v>
      </c>
      <c r="M24" s="59" t="s">
        <v>1072</v>
      </c>
      <c r="N24" s="58">
        <f>AVERAGE(374,380,398,337,349,420,375)</f>
        <v>376.14285714285717</v>
      </c>
      <c r="O24" s="59" t="s">
        <v>1047</v>
      </c>
      <c r="P24" s="58">
        <v>367</v>
      </c>
      <c r="Q24" s="2" t="s">
        <v>981</v>
      </c>
      <c r="R24" s="41" t="s">
        <v>30</v>
      </c>
      <c r="S24" s="58">
        <v>450</v>
      </c>
      <c r="T24" s="2" t="s">
        <v>1072</v>
      </c>
      <c r="U24" s="41" t="s">
        <v>32</v>
      </c>
    </row>
    <row r="25" spans="1:21" ht="12.6" customHeight="1">
      <c r="A25" s="55" t="s">
        <v>267</v>
      </c>
      <c r="B25" s="55" t="s">
        <v>344</v>
      </c>
      <c r="C25" s="11">
        <v>150</v>
      </c>
      <c r="D25" s="56" t="s">
        <v>175</v>
      </c>
      <c r="E25" s="41">
        <f t="shared" si="0"/>
        <v>240</v>
      </c>
      <c r="F25" s="57" t="s">
        <v>266</v>
      </c>
      <c r="G25" s="25">
        <v>1.5</v>
      </c>
      <c r="H25" s="26">
        <v>0.74</v>
      </c>
      <c r="I25" s="11">
        <v>107</v>
      </c>
      <c r="J25" s="11">
        <v>74.5</v>
      </c>
      <c r="K25" s="41">
        <v>67</v>
      </c>
      <c r="L25" s="58">
        <f>AVERAGE(218,198,199,245,198,222,208,197)</f>
        <v>210.625</v>
      </c>
      <c r="M25" s="59" t="s">
        <v>1072</v>
      </c>
      <c r="N25" s="58">
        <f>AVERAGE(238,418,259,330,295,250,238,340,350,300,330,375)</f>
        <v>310.25</v>
      </c>
      <c r="O25" s="59" t="s">
        <v>1047</v>
      </c>
      <c r="P25" s="58">
        <v>280</v>
      </c>
      <c r="Q25" s="2" t="s">
        <v>1072</v>
      </c>
      <c r="R25" s="41" t="s">
        <v>30</v>
      </c>
      <c r="S25" s="58" t="s">
        <v>16</v>
      </c>
      <c r="T25" s="2" t="s">
        <v>16</v>
      </c>
      <c r="U25" s="41" t="s">
        <v>16</v>
      </c>
    </row>
    <row r="26" spans="1:21" ht="12.6" customHeight="1">
      <c r="A26" s="55" t="s">
        <v>267</v>
      </c>
      <c r="B26" s="55" t="s">
        <v>305</v>
      </c>
      <c r="C26" s="11">
        <v>200</v>
      </c>
      <c r="D26" s="56" t="s">
        <v>175</v>
      </c>
      <c r="E26" s="41">
        <f t="shared" si="0"/>
        <v>320</v>
      </c>
      <c r="F26" s="57" t="s">
        <v>266</v>
      </c>
      <c r="G26" s="25">
        <v>2.5</v>
      </c>
      <c r="H26" s="26">
        <v>1.1000000000000001</v>
      </c>
      <c r="I26" s="11">
        <v>143.5</v>
      </c>
      <c r="J26" s="11">
        <v>91</v>
      </c>
      <c r="K26" s="41">
        <v>77</v>
      </c>
      <c r="L26" s="58">
        <f>AVERAGE(747,699,698,700,715,541)</f>
        <v>683.33333333333337</v>
      </c>
      <c r="M26" s="59" t="s">
        <v>1072</v>
      </c>
      <c r="N26" s="58">
        <f>AVERAGE(949,1090,1179,1056,1019,970,968,968,947)</f>
        <v>1016.2222222222222</v>
      </c>
      <c r="O26" s="59" t="s">
        <v>1033</v>
      </c>
      <c r="P26" s="58">
        <v>850</v>
      </c>
      <c r="Q26" s="2" t="s">
        <v>816</v>
      </c>
      <c r="R26" s="41" t="s">
        <v>32</v>
      </c>
      <c r="S26" s="58">
        <v>1080</v>
      </c>
      <c r="T26" s="2" t="s">
        <v>863</v>
      </c>
      <c r="U26" s="41" t="s">
        <v>30</v>
      </c>
    </row>
    <row r="27" spans="1:21" ht="12.6" customHeight="1">
      <c r="A27" s="55" t="s">
        <v>267</v>
      </c>
      <c r="B27" s="55" t="s">
        <v>1011</v>
      </c>
      <c r="C27" s="11">
        <v>300</v>
      </c>
      <c r="D27" s="56" t="s">
        <v>175</v>
      </c>
      <c r="E27" s="41">
        <f t="shared" si="0"/>
        <v>480</v>
      </c>
      <c r="F27" s="57" t="s">
        <v>266</v>
      </c>
      <c r="G27" s="25">
        <v>3.5</v>
      </c>
      <c r="H27" s="26">
        <v>2.7</v>
      </c>
      <c r="I27" s="11">
        <v>237</v>
      </c>
      <c r="J27" s="11">
        <v>140</v>
      </c>
      <c r="K27" s="41" t="s">
        <v>296</v>
      </c>
      <c r="L27" s="58">
        <f>AVERAGE(1625,1899,1600,1850,1600,2121,1949)</f>
        <v>1806.2857142857142</v>
      </c>
      <c r="M27" s="59" t="s">
        <v>904</v>
      </c>
      <c r="N27" s="58">
        <f>AVERAGE(3179,3519)</f>
        <v>3349</v>
      </c>
      <c r="O27" s="59" t="s">
        <v>1047</v>
      </c>
      <c r="P27" s="58">
        <v>1995</v>
      </c>
      <c r="Q27" s="2" t="s">
        <v>491</v>
      </c>
      <c r="R27" s="41" t="s">
        <v>28</v>
      </c>
      <c r="S27" s="58">
        <v>2200</v>
      </c>
      <c r="T27" s="2" t="s">
        <v>494</v>
      </c>
      <c r="U27" s="41" t="s">
        <v>493</v>
      </c>
    </row>
    <row r="28" spans="1:21" ht="12.6" customHeight="1">
      <c r="A28" s="60" t="s">
        <v>267</v>
      </c>
      <c r="B28" s="60" t="s">
        <v>306</v>
      </c>
      <c r="C28" s="27">
        <v>500</v>
      </c>
      <c r="D28" s="64">
        <v>4.5</v>
      </c>
      <c r="E28" s="43">
        <f t="shared" si="0"/>
        <v>800</v>
      </c>
      <c r="F28" s="62" t="s">
        <v>266</v>
      </c>
      <c r="G28" s="50">
        <v>5</v>
      </c>
      <c r="H28" s="31">
        <v>5.4</v>
      </c>
      <c r="I28" s="27">
        <v>378</v>
      </c>
      <c r="J28" s="27">
        <v>162</v>
      </c>
      <c r="K28" s="43" t="s">
        <v>296</v>
      </c>
      <c r="L28" s="52">
        <f>AVERAGE(2300)</f>
        <v>2300</v>
      </c>
      <c r="M28" s="63" t="s">
        <v>332</v>
      </c>
      <c r="N28" s="52">
        <f>AVERAGE(0)</f>
        <v>0</v>
      </c>
      <c r="O28" s="63" t="s">
        <v>16</v>
      </c>
      <c r="P28" s="52">
        <v>3350</v>
      </c>
      <c r="Q28" s="27" t="s">
        <v>345</v>
      </c>
      <c r="R28" s="43" t="s">
        <v>32</v>
      </c>
      <c r="S28" s="149" t="s">
        <v>463</v>
      </c>
      <c r="T28" s="27" t="s">
        <v>466</v>
      </c>
      <c r="U28" s="43" t="s">
        <v>26</v>
      </c>
    </row>
    <row r="29" spans="1:21" ht="12.6" customHeight="1">
      <c r="A29" s="66" t="s">
        <v>267</v>
      </c>
      <c r="B29" s="66" t="s">
        <v>367</v>
      </c>
      <c r="C29" s="2" t="s">
        <v>324</v>
      </c>
      <c r="D29" s="3">
        <v>4.5</v>
      </c>
      <c r="E29" s="41" t="s">
        <v>16</v>
      </c>
      <c r="F29" s="57" t="s">
        <v>266</v>
      </c>
      <c r="G29" s="38">
        <v>1.5</v>
      </c>
      <c r="H29" s="69">
        <v>0.8</v>
      </c>
      <c r="I29" s="2">
        <v>104</v>
      </c>
      <c r="J29" s="2" t="s">
        <v>16</v>
      </c>
      <c r="K29" s="41">
        <v>67</v>
      </c>
      <c r="L29" s="58">
        <f>AVERAGE(110,105,150,134,109,149,118)</f>
        <v>125</v>
      </c>
      <c r="M29" s="59" t="s">
        <v>1072</v>
      </c>
      <c r="N29" s="58">
        <f>AVERAGE(149,160,188,200,245,204)</f>
        <v>191</v>
      </c>
      <c r="O29" s="59" t="s">
        <v>1072</v>
      </c>
      <c r="P29" s="58">
        <v>165</v>
      </c>
      <c r="Q29" s="2" t="s">
        <v>981</v>
      </c>
      <c r="R29" s="41" t="s">
        <v>32</v>
      </c>
      <c r="S29" s="58">
        <v>197</v>
      </c>
      <c r="T29" s="2" t="s">
        <v>1072</v>
      </c>
      <c r="U29" s="41" t="s">
        <v>32</v>
      </c>
    </row>
    <row r="30" spans="1:21" ht="12.6" customHeight="1">
      <c r="A30" s="60" t="s">
        <v>267</v>
      </c>
      <c r="B30" s="60" t="s">
        <v>322</v>
      </c>
      <c r="C30" s="27" t="s">
        <v>323</v>
      </c>
      <c r="D30" s="64">
        <v>4.5</v>
      </c>
      <c r="E30" s="43" t="s">
        <v>16</v>
      </c>
      <c r="F30" s="62" t="s">
        <v>266</v>
      </c>
      <c r="G30" s="50">
        <v>1.8</v>
      </c>
      <c r="H30" s="31">
        <v>0.875</v>
      </c>
      <c r="I30" s="27">
        <v>158</v>
      </c>
      <c r="J30" s="27">
        <v>74.5</v>
      </c>
      <c r="K30" s="43">
        <v>58</v>
      </c>
      <c r="L30" s="52">
        <f>AVERAGE(109,119,120,87,125,175,100)</f>
        <v>119.28571428571429</v>
      </c>
      <c r="M30" s="63" t="s">
        <v>1072</v>
      </c>
      <c r="N30" s="52">
        <f>AVERAGE(140,140,220,185,177,215,198,200,195)</f>
        <v>185.55555555555554</v>
      </c>
      <c r="O30" s="63" t="s">
        <v>1072</v>
      </c>
      <c r="P30" s="52">
        <v>150</v>
      </c>
      <c r="Q30" s="27" t="s">
        <v>1072</v>
      </c>
      <c r="R30" s="43" t="s">
        <v>32</v>
      </c>
      <c r="S30" s="52">
        <v>350</v>
      </c>
      <c r="T30" s="27" t="s">
        <v>725</v>
      </c>
      <c r="U30" s="43" t="s">
        <v>32</v>
      </c>
    </row>
    <row r="31" spans="1:21" ht="12.6" customHeight="1">
      <c r="A31" s="55" t="s">
        <v>16</v>
      </c>
      <c r="B31" s="55" t="s">
        <v>16</v>
      </c>
      <c r="C31" s="11" t="s">
        <v>16</v>
      </c>
      <c r="D31" s="56" t="s">
        <v>16</v>
      </c>
      <c r="E31" s="11" t="s">
        <v>16</v>
      </c>
      <c r="F31" s="12" t="s">
        <v>16</v>
      </c>
      <c r="G31" s="25" t="s">
        <v>16</v>
      </c>
      <c r="H31" s="26" t="s">
        <v>16</v>
      </c>
      <c r="I31" s="11" t="s">
        <v>16</v>
      </c>
      <c r="J31" s="11" t="s">
        <v>16</v>
      </c>
      <c r="K31" s="11" t="s">
        <v>16</v>
      </c>
      <c r="L31" s="11" t="s">
        <v>684</v>
      </c>
      <c r="M31" s="11" t="s">
        <v>16</v>
      </c>
      <c r="N31" s="11" t="s">
        <v>16</v>
      </c>
      <c r="O31" s="11" t="s">
        <v>16</v>
      </c>
      <c r="P31" s="11" t="s">
        <v>16</v>
      </c>
      <c r="Q31" s="11" t="s">
        <v>16</v>
      </c>
      <c r="R31" s="11" t="s">
        <v>16</v>
      </c>
      <c r="S31" s="11" t="s">
        <v>16</v>
      </c>
      <c r="T31" s="11" t="s">
        <v>16</v>
      </c>
      <c r="U31" s="11" t="s">
        <v>16</v>
      </c>
    </row>
    <row r="32" spans="1:21" s="17" customFormat="1" ht="12.6" customHeight="1">
      <c r="A32" s="97" t="s">
        <v>855</v>
      </c>
      <c r="B32" s="98"/>
      <c r="C32" s="34" t="s">
        <v>16</v>
      </c>
      <c r="D32" s="99" t="s">
        <v>16</v>
      </c>
      <c r="E32" s="34" t="s">
        <v>16</v>
      </c>
      <c r="F32" s="100" t="s">
        <v>16</v>
      </c>
      <c r="G32" s="101" t="s">
        <v>16</v>
      </c>
      <c r="H32" s="102" t="s">
        <v>16</v>
      </c>
      <c r="I32" s="34" t="s">
        <v>16</v>
      </c>
      <c r="J32" s="34" t="s">
        <v>16</v>
      </c>
      <c r="K32" s="34" t="s">
        <v>16</v>
      </c>
      <c r="L32" s="34" t="s">
        <v>16</v>
      </c>
      <c r="M32" s="34" t="s">
        <v>16</v>
      </c>
      <c r="N32" s="34" t="s">
        <v>16</v>
      </c>
      <c r="O32" s="34" t="s">
        <v>16</v>
      </c>
      <c r="P32" s="34" t="s">
        <v>16</v>
      </c>
      <c r="Q32" s="34" t="s">
        <v>16</v>
      </c>
      <c r="R32" s="34" t="s">
        <v>16</v>
      </c>
      <c r="S32" s="34" t="s">
        <v>16</v>
      </c>
      <c r="T32" s="34" t="s">
        <v>16</v>
      </c>
      <c r="U32" s="34" t="s">
        <v>16</v>
      </c>
    </row>
    <row r="33" spans="1:21" ht="12.6" customHeight="1">
      <c r="A33" s="55" t="s">
        <v>25</v>
      </c>
      <c r="B33" s="55" t="s">
        <v>585</v>
      </c>
      <c r="C33" s="11">
        <v>60</v>
      </c>
      <c r="D33" s="56" t="s">
        <v>140</v>
      </c>
      <c r="E33" s="41">
        <f t="shared" ref="E33:E36" si="2">1.6*C33</f>
        <v>96</v>
      </c>
      <c r="F33" s="57" t="s">
        <v>268</v>
      </c>
      <c r="G33" s="25">
        <v>0.6</v>
      </c>
      <c r="H33" s="26">
        <v>0.56999999999999995</v>
      </c>
      <c r="I33" s="11">
        <v>84</v>
      </c>
      <c r="J33" s="11">
        <v>81</v>
      </c>
      <c r="K33" s="41">
        <v>67</v>
      </c>
      <c r="L33" s="58">
        <f>AVERAGE(599,632,650,699,580,511,680,762)</f>
        <v>639.125</v>
      </c>
      <c r="M33" s="59" t="s">
        <v>1010</v>
      </c>
      <c r="N33" s="58">
        <f>AVERAGE(890,983,1016,965,1331,750,1195,973,885)</f>
        <v>998.66666666666663</v>
      </c>
      <c r="O33" s="59" t="s">
        <v>1072</v>
      </c>
      <c r="P33" s="58" t="s">
        <v>16</v>
      </c>
      <c r="Q33" s="2" t="s">
        <v>16</v>
      </c>
      <c r="R33" s="41" t="s">
        <v>16</v>
      </c>
      <c r="S33" s="58" t="s">
        <v>16</v>
      </c>
      <c r="T33" s="2" t="s">
        <v>16</v>
      </c>
      <c r="U33" s="41" t="s">
        <v>16</v>
      </c>
    </row>
    <row r="34" spans="1:21" ht="12.6" customHeight="1">
      <c r="A34" s="55" t="s">
        <v>25</v>
      </c>
      <c r="B34" s="55" t="s">
        <v>270</v>
      </c>
      <c r="C34" s="11">
        <v>80</v>
      </c>
      <c r="D34" s="56" t="s">
        <v>175</v>
      </c>
      <c r="E34" s="41">
        <f t="shared" si="2"/>
        <v>128</v>
      </c>
      <c r="F34" s="57" t="s">
        <v>268</v>
      </c>
      <c r="G34" s="25">
        <v>0.6</v>
      </c>
      <c r="H34" s="26">
        <v>0.5</v>
      </c>
      <c r="I34" s="11">
        <v>72</v>
      </c>
      <c r="J34" s="11">
        <v>84</v>
      </c>
      <c r="K34" s="41">
        <v>67</v>
      </c>
      <c r="L34" s="58">
        <f>AVERAGE(890,600,837,853,692,769,764,860,880,841,700,725,853)</f>
        <v>789.53846153846155</v>
      </c>
      <c r="M34" s="59" t="s">
        <v>1072</v>
      </c>
      <c r="N34" s="58">
        <f>AVERAGE(1128,940,1281,1280,1065,1044,1221,1021,1031)</f>
        <v>1112.3333333333333</v>
      </c>
      <c r="O34" s="59" t="s">
        <v>904</v>
      </c>
      <c r="P34" s="58" t="s">
        <v>16</v>
      </c>
      <c r="Q34" s="2" t="s">
        <v>16</v>
      </c>
      <c r="R34" s="41" t="s">
        <v>16</v>
      </c>
      <c r="S34" s="58">
        <v>1145</v>
      </c>
      <c r="T34" s="2" t="s">
        <v>927</v>
      </c>
      <c r="U34" s="41" t="s">
        <v>28</v>
      </c>
    </row>
    <row r="35" spans="1:21" ht="12.6" customHeight="1">
      <c r="A35" s="55" t="s">
        <v>25</v>
      </c>
      <c r="B35" s="55" t="s">
        <v>588</v>
      </c>
      <c r="C35" s="11">
        <v>150</v>
      </c>
      <c r="D35" s="56" t="s">
        <v>141</v>
      </c>
      <c r="E35" s="41">
        <f t="shared" si="2"/>
        <v>240</v>
      </c>
      <c r="F35" s="57" t="s">
        <v>268</v>
      </c>
      <c r="G35" s="25">
        <v>1.5</v>
      </c>
      <c r="H35" s="26">
        <v>0.76</v>
      </c>
      <c r="I35" s="11">
        <v>101</v>
      </c>
      <c r="J35" s="11">
        <v>84</v>
      </c>
      <c r="K35" s="41">
        <v>67</v>
      </c>
      <c r="L35" s="58">
        <f>AVERAGE(595,511,513)</f>
        <v>539.66666666666663</v>
      </c>
      <c r="M35" s="59" t="s">
        <v>967</v>
      </c>
      <c r="N35" s="58">
        <f>AVERAGE(985,998,981)</f>
        <v>988</v>
      </c>
      <c r="O35" s="59" t="s">
        <v>1013</v>
      </c>
      <c r="P35" s="58" t="s">
        <v>16</v>
      </c>
      <c r="Q35" s="2" t="s">
        <v>16</v>
      </c>
      <c r="R35" s="41" t="s">
        <v>16</v>
      </c>
      <c r="S35" s="58" t="s">
        <v>16</v>
      </c>
      <c r="T35" s="2" t="s">
        <v>16</v>
      </c>
      <c r="U35" s="41" t="s">
        <v>16</v>
      </c>
    </row>
    <row r="36" spans="1:21" ht="12.6" customHeight="1">
      <c r="A36" s="60" t="s">
        <v>25</v>
      </c>
      <c r="B36" s="60" t="s">
        <v>589</v>
      </c>
      <c r="C36" s="27">
        <v>250</v>
      </c>
      <c r="D36" s="64" t="s">
        <v>587</v>
      </c>
      <c r="E36" s="43">
        <f t="shared" si="2"/>
        <v>400</v>
      </c>
      <c r="F36" s="62" t="s">
        <v>268</v>
      </c>
      <c r="G36" s="50">
        <v>3</v>
      </c>
      <c r="H36" s="31">
        <v>0.9</v>
      </c>
      <c r="I36" s="27">
        <v>168</v>
      </c>
      <c r="J36" s="27">
        <v>84</v>
      </c>
      <c r="K36" s="43">
        <v>67</v>
      </c>
      <c r="L36" s="52">
        <f>AVERAGE(660)</f>
        <v>660</v>
      </c>
      <c r="M36" s="63" t="s">
        <v>591</v>
      </c>
      <c r="N36" s="52">
        <f>AVERAGE(1350)</f>
        <v>1350</v>
      </c>
      <c r="O36" s="63" t="s">
        <v>725</v>
      </c>
      <c r="P36" s="52" t="s">
        <v>16</v>
      </c>
      <c r="Q36" s="27" t="s">
        <v>16</v>
      </c>
      <c r="R36" s="43" t="s">
        <v>16</v>
      </c>
      <c r="S36" s="52" t="s">
        <v>16</v>
      </c>
      <c r="T36" s="27" t="s">
        <v>16</v>
      </c>
      <c r="U36" s="43" t="s">
        <v>16</v>
      </c>
    </row>
    <row r="37" spans="1:21" ht="12.6" customHeight="1">
      <c r="A37" s="55" t="s">
        <v>16</v>
      </c>
      <c r="B37" s="55" t="s">
        <v>16</v>
      </c>
      <c r="C37" s="11" t="s">
        <v>16</v>
      </c>
      <c r="D37" s="56" t="s">
        <v>16</v>
      </c>
      <c r="E37" s="11" t="s">
        <v>16</v>
      </c>
      <c r="F37" s="12" t="s">
        <v>16</v>
      </c>
      <c r="G37" s="11" t="s">
        <v>16</v>
      </c>
      <c r="H37" s="26" t="s">
        <v>16</v>
      </c>
      <c r="I37" s="11" t="s">
        <v>16</v>
      </c>
      <c r="J37" s="11" t="s">
        <v>16</v>
      </c>
      <c r="K37" s="11" t="s">
        <v>16</v>
      </c>
      <c r="L37" s="11" t="s">
        <v>16</v>
      </c>
      <c r="M37" s="11" t="s">
        <v>16</v>
      </c>
      <c r="N37" s="11" t="s">
        <v>16</v>
      </c>
      <c r="O37" s="11" t="s">
        <v>16</v>
      </c>
      <c r="P37" s="11" t="s">
        <v>16</v>
      </c>
      <c r="Q37" s="11" t="s">
        <v>16</v>
      </c>
      <c r="R37" s="11" t="s">
        <v>16</v>
      </c>
      <c r="S37" s="11" t="s">
        <v>16</v>
      </c>
      <c r="T37" s="11" t="s">
        <v>16</v>
      </c>
      <c r="U37" s="11" t="s">
        <v>16</v>
      </c>
    </row>
    <row r="38" spans="1:21" s="17" customFormat="1" ht="12.6" customHeight="1">
      <c r="A38" s="97" t="s">
        <v>856</v>
      </c>
      <c r="B38" s="98"/>
      <c r="C38" s="34" t="s">
        <v>16</v>
      </c>
      <c r="D38" s="99" t="s">
        <v>16</v>
      </c>
      <c r="E38" s="34" t="s">
        <v>16</v>
      </c>
      <c r="F38" s="100" t="s">
        <v>16</v>
      </c>
      <c r="G38" s="101" t="s">
        <v>16</v>
      </c>
      <c r="H38" s="102" t="s">
        <v>16</v>
      </c>
      <c r="I38" s="34" t="s">
        <v>16</v>
      </c>
      <c r="J38" s="34" t="s">
        <v>16</v>
      </c>
      <c r="K38" s="34" t="s">
        <v>16</v>
      </c>
      <c r="L38" s="34" t="s">
        <v>16</v>
      </c>
      <c r="M38" s="34" t="s">
        <v>16</v>
      </c>
      <c r="N38" s="34" t="s">
        <v>16</v>
      </c>
      <c r="O38" s="34" t="s">
        <v>16</v>
      </c>
      <c r="P38" s="34" t="s">
        <v>16</v>
      </c>
      <c r="Q38" s="34" t="s">
        <v>16</v>
      </c>
      <c r="R38" s="34" t="s">
        <v>16</v>
      </c>
      <c r="S38" s="34" t="s">
        <v>16</v>
      </c>
      <c r="T38" s="34" t="s">
        <v>16</v>
      </c>
      <c r="U38" s="34" t="s">
        <v>16</v>
      </c>
    </row>
    <row r="39" spans="1:21" ht="12.6" customHeight="1">
      <c r="A39" s="66" t="s">
        <v>137</v>
      </c>
      <c r="B39" s="66" t="s">
        <v>847</v>
      </c>
      <c r="C39" s="2">
        <v>35</v>
      </c>
      <c r="D39" s="3" t="s">
        <v>140</v>
      </c>
      <c r="E39" s="41">
        <v>56</v>
      </c>
      <c r="F39" s="57" t="s">
        <v>846</v>
      </c>
      <c r="G39" s="38">
        <v>0.3</v>
      </c>
      <c r="H39" s="69">
        <v>0.47</v>
      </c>
      <c r="I39" s="2">
        <v>67</v>
      </c>
      <c r="J39" s="2">
        <v>80</v>
      </c>
      <c r="K39" s="41">
        <v>77</v>
      </c>
      <c r="L39" s="58">
        <f>AVERAGE(294,450,488,460,500,550,360,440,400,480)</f>
        <v>442.2</v>
      </c>
      <c r="M39" s="59" t="s">
        <v>1072</v>
      </c>
      <c r="N39" s="58">
        <f>AVERAGE(588,560,649,589,585,610,700,599,568,590)</f>
        <v>603.79999999999995</v>
      </c>
      <c r="O39" s="59" t="s">
        <v>1072</v>
      </c>
      <c r="P39" s="58">
        <v>610</v>
      </c>
      <c r="Q39" s="2" t="s">
        <v>981</v>
      </c>
      <c r="R39" s="41" t="s">
        <v>33</v>
      </c>
      <c r="S39" s="58" t="s">
        <v>16</v>
      </c>
      <c r="T39" s="2" t="s">
        <v>16</v>
      </c>
      <c r="U39" s="41" t="s">
        <v>16</v>
      </c>
    </row>
    <row r="40" spans="1:21" ht="12.6" customHeight="1">
      <c r="A40" s="66" t="s">
        <v>137</v>
      </c>
      <c r="B40" s="66" t="s">
        <v>845</v>
      </c>
      <c r="C40" s="2">
        <v>35</v>
      </c>
      <c r="D40" s="3" t="s">
        <v>140</v>
      </c>
      <c r="E40" s="41">
        <v>56</v>
      </c>
      <c r="F40" s="57" t="s">
        <v>846</v>
      </c>
      <c r="G40" s="38">
        <v>0.3</v>
      </c>
      <c r="H40" s="69">
        <v>0.56000000000000005</v>
      </c>
      <c r="I40" s="2">
        <v>90</v>
      </c>
      <c r="J40" s="2">
        <v>88</v>
      </c>
      <c r="K40" s="41">
        <v>82</v>
      </c>
      <c r="L40" s="58">
        <f>AVERAGE(1000,999,1002,1278,1078,1048,979,894,885,1215,1098)</f>
        <v>1043.2727272727273</v>
      </c>
      <c r="M40" s="59" t="s">
        <v>1072</v>
      </c>
      <c r="N40" s="58">
        <f>AVERAGE(1099,1150,1199,1200,1278,1198,1078,1092,1250)</f>
        <v>1171.5555555555557</v>
      </c>
      <c r="O40" s="59" t="s">
        <v>1045</v>
      </c>
      <c r="P40" s="58">
        <f>1299*CA.US</f>
        <v>909.3</v>
      </c>
      <c r="Q40" s="2" t="s">
        <v>981</v>
      </c>
      <c r="R40" s="41" t="s">
        <v>758</v>
      </c>
      <c r="S40" s="58" t="s">
        <v>16</v>
      </c>
      <c r="T40" s="2" t="s">
        <v>16</v>
      </c>
      <c r="U40" s="41" t="s">
        <v>16</v>
      </c>
    </row>
    <row r="41" spans="1:21" ht="12.6" customHeight="1">
      <c r="A41" s="66" t="s">
        <v>137</v>
      </c>
      <c r="B41" s="66" t="s">
        <v>848</v>
      </c>
      <c r="C41" s="2">
        <v>55</v>
      </c>
      <c r="D41" s="3">
        <v>2.8</v>
      </c>
      <c r="E41" s="41">
        <v>56</v>
      </c>
      <c r="F41" s="57" t="s">
        <v>846</v>
      </c>
      <c r="G41" s="38">
        <v>0.45</v>
      </c>
      <c r="H41" s="69">
        <v>0.41</v>
      </c>
      <c r="I41" s="2">
        <v>60.5</v>
      </c>
      <c r="J41" s="2">
        <v>74</v>
      </c>
      <c r="K41" s="41">
        <v>58</v>
      </c>
      <c r="L41" s="58">
        <f>AVERAGE(126,129,137,141,145,135,158,150,148,115)</f>
        <v>138.4</v>
      </c>
      <c r="M41" s="59" t="s">
        <v>1072</v>
      </c>
      <c r="N41" s="58">
        <f>AVERAGE(170,199,197,210,190,180,189,199,215)</f>
        <v>194.33333333333334</v>
      </c>
      <c r="O41" s="59" t="s">
        <v>967</v>
      </c>
      <c r="P41" s="58">
        <v>200</v>
      </c>
      <c r="Q41" s="2" t="s">
        <v>981</v>
      </c>
      <c r="R41" s="41" t="s">
        <v>32</v>
      </c>
      <c r="S41" s="58">
        <v>220</v>
      </c>
      <c r="T41" s="2" t="s">
        <v>1072</v>
      </c>
      <c r="U41" s="41" t="s">
        <v>32</v>
      </c>
    </row>
    <row r="42" spans="1:21" ht="12.6" customHeight="1">
      <c r="A42" s="66" t="s">
        <v>137</v>
      </c>
      <c r="B42" s="66" t="s">
        <v>851</v>
      </c>
      <c r="C42" s="2">
        <v>55</v>
      </c>
      <c r="D42" s="3">
        <v>2.8</v>
      </c>
      <c r="E42" s="41">
        <v>56</v>
      </c>
      <c r="F42" s="57" t="s">
        <v>846</v>
      </c>
      <c r="G42" s="38">
        <v>0.5</v>
      </c>
      <c r="H42" s="69">
        <v>0.41599999999999998</v>
      </c>
      <c r="I42" s="2">
        <v>68.2</v>
      </c>
      <c r="J42" s="2">
        <v>81.3</v>
      </c>
      <c r="K42" s="41">
        <v>67</v>
      </c>
      <c r="L42" s="58">
        <f t="shared" ref="L42" si="3">AVERAGE(0)</f>
        <v>0</v>
      </c>
      <c r="M42" s="59" t="s">
        <v>16</v>
      </c>
      <c r="N42" s="58">
        <f t="shared" ref="N42" si="4">AVERAGE(0)</f>
        <v>0</v>
      </c>
      <c r="O42" s="59" t="s">
        <v>16</v>
      </c>
      <c r="P42" s="58" t="s">
        <v>16</v>
      </c>
      <c r="Q42" s="2" t="s">
        <v>16</v>
      </c>
      <c r="R42" s="41" t="s">
        <v>16</v>
      </c>
      <c r="S42" s="58">
        <v>920</v>
      </c>
      <c r="T42" s="2" t="s">
        <v>863</v>
      </c>
      <c r="U42" s="41" t="s">
        <v>30</v>
      </c>
    </row>
    <row r="43" spans="1:21" ht="12.6" customHeight="1">
      <c r="A43" s="66" t="s">
        <v>137</v>
      </c>
      <c r="B43" s="66" t="s">
        <v>853</v>
      </c>
      <c r="C43" s="2">
        <v>75</v>
      </c>
      <c r="D43" s="3">
        <v>2.8</v>
      </c>
      <c r="E43" s="41">
        <v>56</v>
      </c>
      <c r="F43" s="57" t="s">
        <v>846</v>
      </c>
      <c r="G43" s="38">
        <v>0.6</v>
      </c>
      <c r="H43" s="69">
        <v>0.24</v>
      </c>
      <c r="I43" s="2">
        <v>37.5</v>
      </c>
      <c r="J43" s="2">
        <v>74</v>
      </c>
      <c r="K43" s="41">
        <v>58</v>
      </c>
      <c r="L43" s="58">
        <f>AVERAGE(135,158,169,135,198,178,141,115,144)</f>
        <v>152.55555555555554</v>
      </c>
      <c r="M43" s="59" t="s">
        <v>1072</v>
      </c>
      <c r="N43" s="58">
        <f>AVERAGE(350,398,295,200,248,258)</f>
        <v>291.5</v>
      </c>
      <c r="O43" s="59" t="s">
        <v>1072</v>
      </c>
      <c r="P43" s="58">
        <f>149*CA.US</f>
        <v>104.3</v>
      </c>
      <c r="Q43" s="2" t="s">
        <v>981</v>
      </c>
      <c r="R43" s="41" t="s">
        <v>758</v>
      </c>
      <c r="S43" s="58">
        <v>315</v>
      </c>
      <c r="T43" s="2" t="s">
        <v>1045</v>
      </c>
      <c r="U43" s="41" t="s">
        <v>583</v>
      </c>
    </row>
    <row r="44" spans="1:21" ht="12.6" customHeight="1">
      <c r="A44" s="66" t="s">
        <v>137</v>
      </c>
      <c r="B44" s="66" t="s">
        <v>854</v>
      </c>
      <c r="C44" s="2">
        <v>75</v>
      </c>
      <c r="D44" s="3">
        <v>2.8</v>
      </c>
      <c r="E44" s="41">
        <v>56</v>
      </c>
      <c r="F44" s="57" t="s">
        <v>846</v>
      </c>
      <c r="G44" s="38">
        <v>0.6</v>
      </c>
      <c r="H44" s="69">
        <v>0.215</v>
      </c>
      <c r="I44" s="5">
        <v>37.5</v>
      </c>
      <c r="J44" s="2">
        <v>74.5</v>
      </c>
      <c r="K44" s="41">
        <v>58</v>
      </c>
      <c r="L44" s="58">
        <f>AVERAGE(149,199,211,200,248,226,133,206,130,90)</f>
        <v>179.2</v>
      </c>
      <c r="M44" s="59" t="s">
        <v>973</v>
      </c>
      <c r="N44" s="58">
        <f>AVERAGE(379,389,477,430,330,410,345,330,295)</f>
        <v>376.11111111111109</v>
      </c>
      <c r="O44" s="59" t="s">
        <v>1072</v>
      </c>
      <c r="P44" s="58" t="s">
        <v>16</v>
      </c>
      <c r="Q44" s="2" t="s">
        <v>16</v>
      </c>
      <c r="R44" s="41" t="s">
        <v>16</v>
      </c>
      <c r="S44" s="58" t="s">
        <v>16</v>
      </c>
      <c r="T44" s="2" t="s">
        <v>16</v>
      </c>
      <c r="U44" s="41" t="s">
        <v>16</v>
      </c>
    </row>
    <row r="45" spans="1:21" ht="12.6" customHeight="1">
      <c r="A45" s="66" t="s">
        <v>137</v>
      </c>
      <c r="B45" s="66" t="s">
        <v>849</v>
      </c>
      <c r="C45" s="2">
        <v>120</v>
      </c>
      <c r="D45" s="3" t="s">
        <v>141</v>
      </c>
      <c r="E45" s="41">
        <v>56</v>
      </c>
      <c r="F45" s="57" t="s">
        <v>846</v>
      </c>
      <c r="G45" s="38">
        <v>0.39</v>
      </c>
      <c r="H45" s="69">
        <v>0.69499999999999995</v>
      </c>
      <c r="I45" s="5">
        <v>110</v>
      </c>
      <c r="J45" s="2">
        <v>78.5</v>
      </c>
      <c r="K45" s="41">
        <v>67</v>
      </c>
      <c r="L45" s="58">
        <f>AVERAGE(184,190,239,192,198,199,210,200,180)</f>
        <v>199.11111111111111</v>
      </c>
      <c r="M45" s="59" t="s">
        <v>1072</v>
      </c>
      <c r="N45" s="58">
        <f>AVERAGE(250,265,288,334,270,357,260,280,260,268,290)</f>
        <v>283.81818181818181</v>
      </c>
      <c r="O45" s="59" t="s">
        <v>1072</v>
      </c>
      <c r="P45" s="58" t="s">
        <v>16</v>
      </c>
      <c r="Q45" s="2" t="s">
        <v>16</v>
      </c>
      <c r="R45" s="41" t="s">
        <v>16</v>
      </c>
      <c r="S45" s="58">
        <v>350</v>
      </c>
      <c r="T45" s="2" t="s">
        <v>863</v>
      </c>
      <c r="U45" s="41" t="s">
        <v>35</v>
      </c>
    </row>
    <row r="46" spans="1:21" ht="12.6" customHeight="1">
      <c r="A46" s="60" t="s">
        <v>137</v>
      </c>
      <c r="B46" s="60" t="s">
        <v>850</v>
      </c>
      <c r="C46" s="27">
        <v>120</v>
      </c>
      <c r="D46" s="64">
        <v>4</v>
      </c>
      <c r="E46" s="43">
        <v>56</v>
      </c>
      <c r="F46" s="62" t="s">
        <v>846</v>
      </c>
      <c r="G46" s="50">
        <v>0.39500000000000002</v>
      </c>
      <c r="H46" s="31">
        <v>0.73499999999999999</v>
      </c>
      <c r="I46" s="27">
        <v>110</v>
      </c>
      <c r="J46" s="27">
        <v>82.5</v>
      </c>
      <c r="K46" s="43">
        <v>67</v>
      </c>
      <c r="L46" s="52">
        <f>AVERAGE(270,258,225,243)</f>
        <v>249</v>
      </c>
      <c r="M46" s="63" t="s">
        <v>1045</v>
      </c>
      <c r="N46" s="52">
        <f>AVERAGE(649,799,650,600,790,700,729,768)</f>
        <v>710.625</v>
      </c>
      <c r="O46" s="63" t="s">
        <v>1072</v>
      </c>
      <c r="P46" s="52" t="s">
        <v>16</v>
      </c>
      <c r="Q46" s="27" t="s">
        <v>16</v>
      </c>
      <c r="R46" s="43" t="s">
        <v>16</v>
      </c>
      <c r="S46" s="52" t="s">
        <v>16</v>
      </c>
      <c r="T46" s="27" t="s">
        <v>16</v>
      </c>
      <c r="U46" s="43" t="s">
        <v>16</v>
      </c>
    </row>
    <row r="47" spans="1:21" ht="12.6" customHeight="1">
      <c r="G47" s="11"/>
    </row>
  </sheetData>
  <sheetProtection password="990B" sheet="1" objects="1" scenarios="1"/>
  <phoneticPr fontId="0" type="noConversion"/>
  <conditionalFormatting sqref="R7 U7 R9:R17 U9:U17 R33:R35 U33:U35 U23:U30 R23:R30 U19:U21 R19:R21">
    <cfRule type="cellIs" dxfId="126" priority="49" stopIfTrue="1" operator="lessThan">
      <formula>".07-00"</formula>
    </cfRule>
  </conditionalFormatting>
  <conditionalFormatting sqref="O1:O7 M24:M30 M32:M35 O37 M37 O23:O30 M1:M7 O47:O65524 M47:M65524 M19:M21 O19:O21 O32:O35 M9:M17 O9:O17">
    <cfRule type="cellIs" dxfId="125" priority="50" stopIfTrue="1" operator="lessThan">
      <formula>".08-09"</formula>
    </cfRule>
  </conditionalFormatting>
  <conditionalFormatting sqref="M38 O38">
    <cfRule type="cellIs" dxfId="124" priority="47" stopIfTrue="1" operator="lessThan">
      <formula>".08-09"</formula>
    </cfRule>
  </conditionalFormatting>
  <conditionalFormatting sqref="R39 U39">
    <cfRule type="cellIs" dxfId="123" priority="41" stopIfTrue="1" operator="lessThan">
      <formula>".07-00"</formula>
    </cfRule>
  </conditionalFormatting>
  <conditionalFormatting sqref="O39 M39">
    <cfRule type="cellIs" dxfId="122" priority="42" stopIfTrue="1" operator="lessThan">
      <formula>".08-09"</formula>
    </cfRule>
  </conditionalFormatting>
  <conditionalFormatting sqref="R40:R44 U40:U44">
    <cfRule type="cellIs" dxfId="121" priority="37" stopIfTrue="1" operator="lessThan">
      <formula>".07-00"</formula>
    </cfRule>
  </conditionalFormatting>
  <conditionalFormatting sqref="O40:O44 M40">
    <cfRule type="cellIs" dxfId="120" priority="38" stopIfTrue="1" operator="lessThan">
      <formula>".08-09"</formula>
    </cfRule>
  </conditionalFormatting>
  <conditionalFormatting sqref="M41:M44">
    <cfRule type="cellIs" dxfId="119" priority="36" stopIfTrue="1" operator="lessThan">
      <formula>".08-09"</formula>
    </cfRule>
  </conditionalFormatting>
  <conditionalFormatting sqref="R36 U36">
    <cfRule type="cellIs" dxfId="118" priority="34" stopIfTrue="1" operator="lessThan">
      <formula>".07-00"</formula>
    </cfRule>
  </conditionalFormatting>
  <conditionalFormatting sqref="O36 M36">
    <cfRule type="cellIs" dxfId="117" priority="35" stopIfTrue="1" operator="lessThan">
      <formula>".08-09"</formula>
    </cfRule>
  </conditionalFormatting>
  <conditionalFormatting sqref="R46 U46">
    <cfRule type="cellIs" dxfId="116" priority="32" stopIfTrue="1" operator="lessThan">
      <formula>".07-00"</formula>
    </cfRule>
  </conditionalFormatting>
  <conditionalFormatting sqref="O46 M46">
    <cfRule type="cellIs" dxfId="115" priority="33" stopIfTrue="1" operator="lessThan">
      <formula>".08-09"</formula>
    </cfRule>
  </conditionalFormatting>
  <conditionalFormatting sqref="R45 U45">
    <cfRule type="cellIs" dxfId="114" priority="30" stopIfTrue="1" operator="lessThan">
      <formula>".07-00"</formula>
    </cfRule>
  </conditionalFormatting>
  <conditionalFormatting sqref="O45">
    <cfRule type="cellIs" dxfId="113" priority="31" stopIfTrue="1" operator="lessThan">
      <formula>".08-09"</formula>
    </cfRule>
  </conditionalFormatting>
  <conditionalFormatting sqref="M45">
    <cfRule type="cellIs" dxfId="112" priority="29" stopIfTrue="1" operator="lessThan">
      <formula>".08-09"</formula>
    </cfRule>
  </conditionalFormatting>
  <conditionalFormatting sqref="U22 R22">
    <cfRule type="cellIs" dxfId="111" priority="21" stopIfTrue="1" operator="lessThan">
      <formula>".07-00"</formula>
    </cfRule>
  </conditionalFormatting>
  <conditionalFormatting sqref="O22">
    <cfRule type="cellIs" dxfId="110" priority="22" stopIfTrue="1" operator="lessThan">
      <formula>".08-09"</formula>
    </cfRule>
  </conditionalFormatting>
  <conditionalFormatting sqref="R22 U22">
    <cfRule type="cellIs" dxfId="109" priority="19" stopIfTrue="1" operator="lessThan">
      <formula>".07-00"</formula>
    </cfRule>
  </conditionalFormatting>
  <conditionalFormatting sqref="O22 M22">
    <cfRule type="cellIs" dxfId="108" priority="20" stopIfTrue="1" operator="lessThan">
      <formula>".08-09"</formula>
    </cfRule>
  </conditionalFormatting>
  <conditionalFormatting sqref="U23 R23">
    <cfRule type="cellIs" dxfId="107" priority="17" stopIfTrue="1" operator="lessThan">
      <formula>".07-00"</formula>
    </cfRule>
  </conditionalFormatting>
  <conditionalFormatting sqref="O23">
    <cfRule type="cellIs" dxfId="106" priority="18" stopIfTrue="1" operator="lessThan">
      <formula>".08-09"</formula>
    </cfRule>
  </conditionalFormatting>
  <conditionalFormatting sqref="R8 U8">
    <cfRule type="cellIs" dxfId="105" priority="3" stopIfTrue="1" operator="lessThan">
      <formula>".07-00"</formula>
    </cfRule>
  </conditionalFormatting>
  <conditionalFormatting sqref="M8 O8">
    <cfRule type="cellIs" dxfId="104" priority="4" stopIfTrue="1" operator="lessThan">
      <formula>".08-09"</formula>
    </cfRule>
  </conditionalFormatting>
  <conditionalFormatting sqref="U18 R18">
    <cfRule type="cellIs" dxfId="103" priority="1" stopIfTrue="1" operator="lessThan">
      <formula>".07-00"</formula>
    </cfRule>
  </conditionalFormatting>
  <conditionalFormatting sqref="M18 O18">
    <cfRule type="cellIs" dxfId="102" priority="2"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D7:D11 D19:D21 D13 D15 D12 D16:D18 D14 D24:D4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74"/>
  <sheetViews>
    <sheetView view="pageLayout" zoomScaleNormal="100" workbookViewId="0"/>
  </sheetViews>
  <sheetFormatPr defaultRowHeight="12.6" customHeight="1"/>
  <cols>
    <col min="1" max="1" width="8.7109375" style="55" customWidth="1"/>
    <col min="2" max="2" width="22.85546875" style="55" customWidth="1"/>
    <col min="3" max="3" width="6.28515625" style="11" customWidth="1"/>
    <col min="4" max="4" width="6.5703125" style="56" customWidth="1"/>
    <col min="5" max="5" width="6.5703125" style="11" customWidth="1"/>
    <col min="6" max="6" width="5.140625" style="12" customWidth="1"/>
    <col min="7" max="7" width="4.7109375" style="25" customWidth="1"/>
    <col min="8" max="8" width="4.7109375" style="26" customWidth="1"/>
    <col min="9" max="11" width="4.7109375" style="11" customWidth="1"/>
    <col min="12" max="20" width="5.28515625" style="11" customWidth="1"/>
    <col min="21" max="21" width="6.28515625" style="11" customWidth="1"/>
    <col min="22" max="22" width="2.7109375" style="12" customWidth="1"/>
    <col min="23" max="16384" width="9.140625" style="5"/>
  </cols>
  <sheetData>
    <row r="1" spans="1:22" ht="12.6" customHeight="1">
      <c r="A1" s="14" t="s">
        <v>179</v>
      </c>
      <c r="B1" s="15"/>
      <c r="C1" s="6" t="s">
        <v>16</v>
      </c>
      <c r="D1" s="15" t="s">
        <v>16</v>
      </c>
      <c r="E1" s="6"/>
      <c r="F1" s="15" t="s">
        <v>16</v>
      </c>
      <c r="G1" s="25" t="s">
        <v>16</v>
      </c>
      <c r="H1" s="26" t="s">
        <v>16</v>
      </c>
      <c r="I1" s="11" t="s">
        <v>16</v>
      </c>
      <c r="J1" s="54" t="s">
        <v>16</v>
      </c>
      <c r="K1" s="11" t="s">
        <v>16</v>
      </c>
      <c r="L1" s="2" t="s">
        <v>16</v>
      </c>
      <c r="M1" s="2" t="s">
        <v>16</v>
      </c>
      <c r="N1" s="2" t="s">
        <v>16</v>
      </c>
      <c r="O1" s="2" t="s">
        <v>16</v>
      </c>
      <c r="P1" s="2" t="s">
        <v>16</v>
      </c>
      <c r="Q1" s="5" t="str">
        <f>i!B3</f>
        <v>.2016-02-01</v>
      </c>
      <c r="S1" s="13"/>
      <c r="T1" s="2" t="s">
        <v>16</v>
      </c>
      <c r="U1" s="2" t="s">
        <v>16</v>
      </c>
    </row>
    <row r="2" spans="1:22" ht="12.6" customHeight="1">
      <c r="A2" s="17" t="str">
        <f>i!A3</f>
        <v>v.30</v>
      </c>
      <c r="B2" s="55" t="s">
        <v>1074</v>
      </c>
      <c r="F2" s="16"/>
      <c r="G2" s="38"/>
      <c r="H2" s="69"/>
      <c r="I2" s="2"/>
      <c r="J2" s="37"/>
      <c r="K2" s="2"/>
      <c r="L2" s="2"/>
      <c r="M2" s="3"/>
      <c r="N2" s="27"/>
      <c r="O2" s="3"/>
      <c r="P2" s="27"/>
      <c r="Q2" s="3"/>
      <c r="R2" s="27"/>
      <c r="S2" s="27"/>
      <c r="T2" s="3"/>
      <c r="U2" s="27"/>
    </row>
    <row r="3" spans="1:22" s="15" customFormat="1" ht="12.6" customHeight="1">
      <c r="A3" s="17" t="s">
        <v>16</v>
      </c>
      <c r="B3" s="15" t="s">
        <v>16</v>
      </c>
      <c r="C3" s="28" t="s">
        <v>16</v>
      </c>
      <c r="D3" s="136" t="s">
        <v>16</v>
      </c>
      <c r="E3" s="28"/>
      <c r="F3" s="137" t="s">
        <v>16</v>
      </c>
      <c r="G3" s="30" t="s">
        <v>16</v>
      </c>
      <c r="H3" s="30" t="s">
        <v>16</v>
      </c>
      <c r="I3" s="30" t="s">
        <v>16</v>
      </c>
      <c r="J3" s="27" t="s">
        <v>16</v>
      </c>
      <c r="K3" s="30" t="s">
        <v>16</v>
      </c>
      <c r="L3" s="138" t="s">
        <v>16</v>
      </c>
      <c r="M3" s="34" t="s">
        <v>16</v>
      </c>
      <c r="N3" s="34" t="s">
        <v>17</v>
      </c>
      <c r="O3" s="34" t="s">
        <v>16</v>
      </c>
      <c r="P3" s="139" t="s">
        <v>16</v>
      </c>
      <c r="Q3" s="140" t="s">
        <v>16</v>
      </c>
      <c r="R3" s="13" t="s">
        <v>18</v>
      </c>
      <c r="S3" s="27"/>
      <c r="T3" s="34" t="s">
        <v>16</v>
      </c>
      <c r="U3" s="43" t="s">
        <v>16</v>
      </c>
      <c r="V3" s="4"/>
    </row>
    <row r="4" spans="1:22" s="17" customFormat="1" ht="12.6" customHeight="1">
      <c r="A4" s="15" t="s">
        <v>16</v>
      </c>
      <c r="B4" s="15"/>
      <c r="C4" s="2" t="s">
        <v>6</v>
      </c>
      <c r="D4" s="3" t="s">
        <v>11</v>
      </c>
      <c r="E4" s="2" t="s">
        <v>910</v>
      </c>
      <c r="F4" s="141" t="s">
        <v>13</v>
      </c>
      <c r="G4" s="39" t="s">
        <v>329</v>
      </c>
      <c r="H4" s="142" t="s">
        <v>7</v>
      </c>
      <c r="I4" s="140" t="s">
        <v>380</v>
      </c>
      <c r="J4" s="140" t="s">
        <v>381</v>
      </c>
      <c r="K4" s="72" t="s">
        <v>382</v>
      </c>
      <c r="L4" s="42" t="s">
        <v>576</v>
      </c>
      <c r="M4" s="43"/>
      <c r="N4" s="44" t="s">
        <v>19</v>
      </c>
      <c r="O4" s="27"/>
      <c r="P4" s="143"/>
      <c r="Q4" s="34" t="s">
        <v>577</v>
      </c>
      <c r="R4" s="53"/>
      <c r="S4" s="144"/>
      <c r="T4" s="41" t="s">
        <v>9</v>
      </c>
      <c r="U4" s="41"/>
      <c r="V4" s="3"/>
    </row>
    <row r="5" spans="1:22" s="17" customFormat="1" ht="12.6" customHeight="1">
      <c r="A5" s="136" t="s">
        <v>765</v>
      </c>
      <c r="B5" s="48"/>
      <c r="C5" s="27" t="s">
        <v>20</v>
      </c>
      <c r="D5" s="64" t="s">
        <v>16</v>
      </c>
      <c r="E5" s="27" t="s">
        <v>20</v>
      </c>
      <c r="F5" s="145" t="s">
        <v>16</v>
      </c>
      <c r="G5" s="68" t="s">
        <v>37</v>
      </c>
      <c r="H5" s="69" t="s">
        <v>21</v>
      </c>
      <c r="I5" s="2" t="s">
        <v>20</v>
      </c>
      <c r="J5" s="2" t="s">
        <v>20</v>
      </c>
      <c r="K5" s="41" t="s">
        <v>20</v>
      </c>
      <c r="L5" s="52" t="s">
        <v>22</v>
      </c>
      <c r="M5" s="43" t="s">
        <v>23</v>
      </c>
      <c r="N5" s="27" t="s">
        <v>22</v>
      </c>
      <c r="O5" s="27" t="s">
        <v>23</v>
      </c>
      <c r="P5" s="52" t="s">
        <v>22</v>
      </c>
      <c r="Q5" s="27" t="s">
        <v>23</v>
      </c>
      <c r="R5" s="43" t="s">
        <v>24</v>
      </c>
      <c r="S5" s="46" t="s">
        <v>22</v>
      </c>
      <c r="T5" s="34" t="s">
        <v>23</v>
      </c>
      <c r="U5" s="53" t="s">
        <v>24</v>
      </c>
      <c r="V5" s="3"/>
    </row>
    <row r="6" spans="1:22" ht="12.6" customHeight="1">
      <c r="A6" s="17" t="s">
        <v>592</v>
      </c>
      <c r="B6" s="66" t="s">
        <v>595</v>
      </c>
      <c r="C6" s="2">
        <v>14</v>
      </c>
      <c r="D6" s="38">
        <v>2.8</v>
      </c>
      <c r="E6" s="2">
        <f t="shared" ref="E6:E16" si="0">C6*1.5</f>
        <v>21</v>
      </c>
      <c r="F6" s="146" t="s">
        <v>593</v>
      </c>
      <c r="G6" s="39">
        <v>0.18</v>
      </c>
      <c r="H6" s="142">
        <v>0.23499999999999999</v>
      </c>
      <c r="I6" s="140">
        <v>58.4</v>
      </c>
      <c r="J6" s="140">
        <v>65</v>
      </c>
      <c r="K6" s="72">
        <v>58</v>
      </c>
      <c r="L6" s="2">
        <f>AVERAGE(476,413,475,480,475,520,499,469,561)</f>
        <v>485.33333333333331</v>
      </c>
      <c r="M6" s="41" t="s">
        <v>1045</v>
      </c>
      <c r="N6" s="58">
        <f>AVERAGE(617,588,549,666,515,622,607,599,650,659)</f>
        <v>607.20000000000005</v>
      </c>
      <c r="O6" s="41" t="s">
        <v>1072</v>
      </c>
      <c r="P6" s="58">
        <v>645</v>
      </c>
      <c r="Q6" s="2" t="s">
        <v>878</v>
      </c>
      <c r="R6" s="41" t="s">
        <v>30</v>
      </c>
      <c r="S6" s="58">
        <v>560</v>
      </c>
      <c r="T6" s="2" t="s">
        <v>1072</v>
      </c>
      <c r="U6" s="41" t="s">
        <v>906</v>
      </c>
    </row>
    <row r="7" spans="1:22" ht="12.6" customHeight="1">
      <c r="A7" s="17" t="s">
        <v>592</v>
      </c>
      <c r="B7" s="66" t="s">
        <v>897</v>
      </c>
      <c r="C7" s="2">
        <v>16</v>
      </c>
      <c r="D7" s="38">
        <v>1.4</v>
      </c>
      <c r="E7" s="2">
        <f t="shared" si="0"/>
        <v>24</v>
      </c>
      <c r="F7" s="146" t="s">
        <v>593</v>
      </c>
      <c r="G7" s="68" t="s">
        <v>16</v>
      </c>
      <c r="H7" s="69" t="s">
        <v>16</v>
      </c>
      <c r="I7" s="2" t="s">
        <v>16</v>
      </c>
      <c r="J7" s="2" t="s">
        <v>16</v>
      </c>
      <c r="K7" s="41" t="s">
        <v>16</v>
      </c>
      <c r="L7" s="2">
        <f>AVERAGE(673,699,650)</f>
        <v>674</v>
      </c>
      <c r="M7" s="41" t="s">
        <v>1045</v>
      </c>
      <c r="N7" s="58">
        <f>AVERAGE(750,799,775)</f>
        <v>774.66666666666663</v>
      </c>
      <c r="O7" s="41" t="s">
        <v>1072</v>
      </c>
      <c r="P7" s="58" t="s">
        <v>16</v>
      </c>
      <c r="Q7" s="2" t="s">
        <v>16</v>
      </c>
      <c r="R7" s="41" t="s">
        <v>16</v>
      </c>
      <c r="S7" s="147" t="s">
        <v>16</v>
      </c>
      <c r="T7" s="2" t="s">
        <v>16</v>
      </c>
      <c r="U7" s="41" t="s">
        <v>16</v>
      </c>
    </row>
    <row r="8" spans="1:22" ht="12.6" customHeight="1">
      <c r="A8" s="17" t="s">
        <v>592</v>
      </c>
      <c r="B8" s="66" t="s">
        <v>597</v>
      </c>
      <c r="C8" s="2">
        <v>18</v>
      </c>
      <c r="D8" s="38">
        <v>2</v>
      </c>
      <c r="E8" s="2">
        <f t="shared" si="0"/>
        <v>27</v>
      </c>
      <c r="F8" s="146" t="s">
        <v>593</v>
      </c>
      <c r="G8" s="68">
        <v>0.18</v>
      </c>
      <c r="H8" s="69">
        <v>0.11600000000000001</v>
      </c>
      <c r="I8" s="2">
        <v>40.6</v>
      </c>
      <c r="J8" s="2">
        <v>64.5</v>
      </c>
      <c r="K8" s="41">
        <v>52</v>
      </c>
      <c r="L8" s="2">
        <f>AVERAGE(209,271,265,273,250,239,259,255,255,203,265)</f>
        <v>249.45454545454547</v>
      </c>
      <c r="M8" s="41" t="s">
        <v>1072</v>
      </c>
      <c r="N8" s="58">
        <f>AVERAGE(320,308,270,325,285,260,281,315,315,355,325)</f>
        <v>305.36363636363637</v>
      </c>
      <c r="O8" s="41" t="s">
        <v>1072</v>
      </c>
      <c r="P8" s="58">
        <v>328</v>
      </c>
      <c r="Q8" s="2" t="s">
        <v>981</v>
      </c>
      <c r="R8" s="41" t="s">
        <v>30</v>
      </c>
      <c r="S8" s="147">
        <v>400</v>
      </c>
      <c r="T8" s="2" t="s">
        <v>885</v>
      </c>
      <c r="U8" s="41" t="s">
        <v>445</v>
      </c>
    </row>
    <row r="9" spans="1:22" ht="12.6" customHeight="1">
      <c r="A9" s="17" t="s">
        <v>592</v>
      </c>
      <c r="B9" s="66" t="s">
        <v>697</v>
      </c>
      <c r="C9" s="2">
        <v>23</v>
      </c>
      <c r="D9" s="38">
        <v>1.4</v>
      </c>
      <c r="E9" s="2">
        <f t="shared" si="0"/>
        <v>34.5</v>
      </c>
      <c r="F9" s="146" t="s">
        <v>593</v>
      </c>
      <c r="G9" s="68">
        <v>0.28000000000000003</v>
      </c>
      <c r="H9" s="69">
        <v>0.30099999999999999</v>
      </c>
      <c r="I9" s="2">
        <v>63</v>
      </c>
      <c r="J9" s="2">
        <v>72</v>
      </c>
      <c r="K9" s="41">
        <v>62</v>
      </c>
      <c r="L9" s="2">
        <f>AVERAGE(482,531,595,524,475,603,510,514,555,555,554,599)</f>
        <v>541.41666666666663</v>
      </c>
      <c r="M9" s="41" t="s">
        <v>1072</v>
      </c>
      <c r="N9" s="58">
        <f>AVERAGE(645,538,610,620,611,620,768,689,570,650)</f>
        <v>632.1</v>
      </c>
      <c r="O9" s="41" t="s">
        <v>1072</v>
      </c>
      <c r="P9" s="58">
        <v>572</v>
      </c>
      <c r="Q9" s="2" t="s">
        <v>981</v>
      </c>
      <c r="R9" s="41" t="s">
        <v>30</v>
      </c>
      <c r="S9" s="58">
        <f>750*CA.US</f>
        <v>525</v>
      </c>
      <c r="T9" s="2" t="s">
        <v>981</v>
      </c>
      <c r="U9" s="41" t="s">
        <v>418</v>
      </c>
    </row>
    <row r="10" spans="1:22" ht="12.6" customHeight="1">
      <c r="A10" s="17" t="s">
        <v>592</v>
      </c>
      <c r="B10" s="66" t="s">
        <v>696</v>
      </c>
      <c r="C10" s="2">
        <v>27</v>
      </c>
      <c r="D10" s="38">
        <v>2.8</v>
      </c>
      <c r="E10" s="2">
        <f t="shared" si="0"/>
        <v>40.5</v>
      </c>
      <c r="F10" s="146" t="s">
        <v>593</v>
      </c>
      <c r="G10" s="68">
        <v>0.34</v>
      </c>
      <c r="H10" s="69">
        <v>7.8E-2</v>
      </c>
      <c r="I10" s="2">
        <v>23</v>
      </c>
      <c r="J10" s="2">
        <v>61.2</v>
      </c>
      <c r="K10" s="41">
        <v>39</v>
      </c>
      <c r="L10" s="2">
        <f>AVERAGE(199,190,165,188,205,201,229,219,193,198)</f>
        <v>198.7</v>
      </c>
      <c r="M10" s="41" t="s">
        <v>1072</v>
      </c>
      <c r="N10" s="58">
        <f>AVERAGE(262,279,249,270,255,250,256,265,311,280)</f>
        <v>267.7</v>
      </c>
      <c r="O10" s="41" t="s">
        <v>1072</v>
      </c>
      <c r="P10" s="58" t="s">
        <v>16</v>
      </c>
      <c r="Q10" s="2" t="s">
        <v>16</v>
      </c>
      <c r="R10" s="41" t="s">
        <v>16</v>
      </c>
      <c r="S10" s="58">
        <v>200</v>
      </c>
      <c r="T10" s="2" t="s">
        <v>878</v>
      </c>
      <c r="U10" s="41" t="s">
        <v>33</v>
      </c>
    </row>
    <row r="11" spans="1:22" ht="12.6" customHeight="1">
      <c r="A11" s="17" t="s">
        <v>592</v>
      </c>
      <c r="B11" s="66" t="s">
        <v>594</v>
      </c>
      <c r="C11" s="2">
        <v>35</v>
      </c>
      <c r="D11" s="38">
        <v>1.4</v>
      </c>
      <c r="E11" s="2">
        <f t="shared" ref="E11" si="1">C11*1.5</f>
        <v>52.5</v>
      </c>
      <c r="F11" s="146" t="s">
        <v>593</v>
      </c>
      <c r="G11" s="68">
        <v>0.28000000000000003</v>
      </c>
      <c r="H11" s="69">
        <v>0.187</v>
      </c>
      <c r="I11" s="2">
        <v>54.9</v>
      </c>
      <c r="J11" s="2">
        <v>65</v>
      </c>
      <c r="K11" s="41">
        <v>52</v>
      </c>
      <c r="L11" s="2">
        <f>AVERAGE(315,322,336,349,318,342,340,355,314)</f>
        <v>332.33333333333331</v>
      </c>
      <c r="M11" s="41" t="s">
        <v>1072</v>
      </c>
      <c r="N11" s="58">
        <f>AVERAGE(400,360,360,385,435,399,400,406)</f>
        <v>393.125</v>
      </c>
      <c r="O11" s="41" t="s">
        <v>1072</v>
      </c>
      <c r="P11" s="58">
        <f>429*CA.US</f>
        <v>300.29999999999995</v>
      </c>
      <c r="Q11" s="2" t="s">
        <v>1072</v>
      </c>
      <c r="R11" s="41" t="s">
        <v>758</v>
      </c>
      <c r="S11" s="58">
        <v>400</v>
      </c>
      <c r="T11" s="2" t="s">
        <v>1072</v>
      </c>
      <c r="U11" s="41" t="s">
        <v>30</v>
      </c>
    </row>
    <row r="12" spans="1:22" ht="12.6" customHeight="1">
      <c r="A12" s="17" t="s">
        <v>592</v>
      </c>
      <c r="B12" s="66" t="s">
        <v>1042</v>
      </c>
      <c r="C12" s="2">
        <v>35</v>
      </c>
      <c r="D12" s="38">
        <v>2</v>
      </c>
      <c r="E12" s="2">
        <f t="shared" si="0"/>
        <v>52.5</v>
      </c>
      <c r="F12" s="146" t="s">
        <v>593</v>
      </c>
      <c r="G12" s="68">
        <v>0.35</v>
      </c>
      <c r="H12" s="69">
        <v>0.17</v>
      </c>
      <c r="I12" s="2">
        <v>45.9</v>
      </c>
      <c r="J12" s="2">
        <v>60</v>
      </c>
      <c r="K12" s="41">
        <v>43</v>
      </c>
      <c r="L12" s="2">
        <f>AVERAGE(365)</f>
        <v>365</v>
      </c>
      <c r="M12" s="41" t="s">
        <v>1072</v>
      </c>
      <c r="N12" s="148">
        <f>AVERAGE(399,399,400)</f>
        <v>399.33333333333331</v>
      </c>
      <c r="O12" s="41" t="s">
        <v>1072</v>
      </c>
      <c r="P12" s="58" t="s">
        <v>16</v>
      </c>
      <c r="Q12" s="2" t="s">
        <v>16</v>
      </c>
      <c r="R12" s="41" t="s">
        <v>16</v>
      </c>
      <c r="S12" s="147">
        <v>400</v>
      </c>
      <c r="T12" s="2" t="s">
        <v>1045</v>
      </c>
      <c r="U12" s="41" t="s">
        <v>32</v>
      </c>
    </row>
    <row r="13" spans="1:22" ht="12.6" customHeight="1">
      <c r="A13" s="17" t="s">
        <v>592</v>
      </c>
      <c r="B13" s="66" t="s">
        <v>810</v>
      </c>
      <c r="C13" s="2">
        <v>56</v>
      </c>
      <c r="D13" s="38">
        <v>1.2</v>
      </c>
      <c r="E13" s="2">
        <f>C13*1.5</f>
        <v>84</v>
      </c>
      <c r="F13" s="146" t="s">
        <v>593</v>
      </c>
      <c r="G13" s="68">
        <v>0.7</v>
      </c>
      <c r="H13" s="69">
        <v>0.40500000000000003</v>
      </c>
      <c r="I13" s="2">
        <v>69.7</v>
      </c>
      <c r="J13" s="2">
        <v>73.2</v>
      </c>
      <c r="K13" s="41">
        <v>62</v>
      </c>
      <c r="L13" s="2">
        <f>AVERAGE(615,660,680,687,685,665,695,600)</f>
        <v>660.875</v>
      </c>
      <c r="M13" s="41" t="s">
        <v>1072</v>
      </c>
      <c r="N13" s="58">
        <f>AVERAGE(775,710,770,729,700,670,753,750,760,815,740)</f>
        <v>742.90909090909088</v>
      </c>
      <c r="O13" s="41" t="s">
        <v>1045</v>
      </c>
      <c r="P13" s="58" t="s">
        <v>16</v>
      </c>
      <c r="Q13" s="2" t="s">
        <v>16</v>
      </c>
      <c r="R13" s="41" t="s">
        <v>16</v>
      </c>
      <c r="S13" s="58">
        <v>850</v>
      </c>
      <c r="T13" s="2" t="s">
        <v>1072</v>
      </c>
      <c r="U13" s="41" t="s">
        <v>33</v>
      </c>
    </row>
    <row r="14" spans="1:22" ht="12.6" customHeight="1">
      <c r="A14" s="17" t="s">
        <v>592</v>
      </c>
      <c r="B14" s="66" t="s">
        <v>921</v>
      </c>
      <c r="C14" s="2">
        <v>56</v>
      </c>
      <c r="D14" s="38">
        <v>1.2</v>
      </c>
      <c r="E14" s="2">
        <f>C14*1.5</f>
        <v>84</v>
      </c>
      <c r="F14" s="146" t="s">
        <v>593</v>
      </c>
      <c r="G14" s="68">
        <v>0.7</v>
      </c>
      <c r="H14" s="69">
        <v>0.40500000000000003</v>
      </c>
      <c r="I14" s="2">
        <v>69.7</v>
      </c>
      <c r="J14" s="2">
        <v>73.2</v>
      </c>
      <c r="K14" s="41">
        <v>62</v>
      </c>
      <c r="L14" s="2">
        <f>AVERAGE(661,631,718,685,729,695,716,710)</f>
        <v>693.125</v>
      </c>
      <c r="M14" s="41" t="s">
        <v>1072</v>
      </c>
      <c r="N14" s="147">
        <f>AVERAGE(699,729,778,799,775,749)</f>
        <v>754.83333333333337</v>
      </c>
      <c r="O14" s="41" t="s">
        <v>1072</v>
      </c>
      <c r="P14" s="58">
        <v>1050</v>
      </c>
      <c r="Q14" s="2" t="s">
        <v>981</v>
      </c>
      <c r="R14" s="41" t="s">
        <v>32</v>
      </c>
      <c r="S14" s="58">
        <v>1120</v>
      </c>
      <c r="T14" s="2" t="s">
        <v>1072</v>
      </c>
      <c r="U14" s="41" t="s">
        <v>906</v>
      </c>
    </row>
    <row r="15" spans="1:22" ht="12.6" customHeight="1">
      <c r="A15" s="17" t="s">
        <v>592</v>
      </c>
      <c r="B15" s="66" t="s">
        <v>598</v>
      </c>
      <c r="C15" s="2">
        <v>60</v>
      </c>
      <c r="D15" s="38">
        <v>2.4</v>
      </c>
      <c r="E15" s="2">
        <f t="shared" ref="E15" si="2">C15*1.5</f>
        <v>90</v>
      </c>
      <c r="F15" s="146" t="s">
        <v>593</v>
      </c>
      <c r="G15" s="68">
        <v>0.27</v>
      </c>
      <c r="H15" s="69">
        <v>0.215</v>
      </c>
      <c r="I15" s="2">
        <v>70.900000000000006</v>
      </c>
      <c r="J15" s="2">
        <v>64.099999999999994</v>
      </c>
      <c r="K15" s="41">
        <v>39</v>
      </c>
      <c r="L15" s="2">
        <f>AVERAGE(280,241,295,286,309,309,320,267)</f>
        <v>288.375</v>
      </c>
      <c r="M15" s="41" t="s">
        <v>1072</v>
      </c>
      <c r="N15" s="58">
        <f>AVERAGE(299,385,430,400,400,390,497,462,411)</f>
        <v>408.22222222222223</v>
      </c>
      <c r="O15" s="41" t="s">
        <v>1072</v>
      </c>
      <c r="P15" s="58">
        <v>340</v>
      </c>
      <c r="Q15" s="2" t="s">
        <v>1072</v>
      </c>
      <c r="R15" s="41" t="s">
        <v>33</v>
      </c>
      <c r="S15" s="58">
        <v>420</v>
      </c>
      <c r="T15" s="2" t="s">
        <v>1072</v>
      </c>
      <c r="U15" s="41" t="s">
        <v>30</v>
      </c>
    </row>
    <row r="16" spans="1:22" ht="12.6" customHeight="1">
      <c r="A16" s="48" t="s">
        <v>592</v>
      </c>
      <c r="B16" s="60" t="s">
        <v>898</v>
      </c>
      <c r="C16" s="27">
        <v>90</v>
      </c>
      <c r="D16" s="32">
        <v>2</v>
      </c>
      <c r="E16" s="27">
        <f t="shared" si="0"/>
        <v>135</v>
      </c>
      <c r="F16" s="51" t="s">
        <v>593</v>
      </c>
      <c r="G16" s="50">
        <v>0.6</v>
      </c>
      <c r="H16" s="31">
        <v>0.54</v>
      </c>
      <c r="I16" s="27">
        <v>105</v>
      </c>
      <c r="J16" s="27">
        <v>75</v>
      </c>
      <c r="K16" s="43">
        <v>62</v>
      </c>
      <c r="L16" s="52">
        <f>AVERAGE(725)</f>
        <v>725</v>
      </c>
      <c r="M16" s="43" t="s">
        <v>1072</v>
      </c>
      <c r="N16" s="149">
        <f>AVERAGE(800,799)</f>
        <v>799.5</v>
      </c>
      <c r="O16" s="43" t="s">
        <v>1072</v>
      </c>
      <c r="P16" s="52" t="s">
        <v>16</v>
      </c>
      <c r="Q16" s="27" t="s">
        <v>16</v>
      </c>
      <c r="R16" s="43" t="s">
        <v>16</v>
      </c>
      <c r="S16" s="149" t="s">
        <v>16</v>
      </c>
      <c r="T16" s="27" t="s">
        <v>16</v>
      </c>
      <c r="U16" s="43" t="s">
        <v>16</v>
      </c>
    </row>
    <row r="17" spans="1:21" ht="11.25">
      <c r="A17" s="17" t="s">
        <v>592</v>
      </c>
      <c r="B17" s="66" t="s">
        <v>690</v>
      </c>
      <c r="C17" s="2" t="s">
        <v>694</v>
      </c>
      <c r="D17" s="38">
        <v>4</v>
      </c>
      <c r="E17" s="2" t="s">
        <v>733</v>
      </c>
      <c r="F17" s="146" t="s">
        <v>593</v>
      </c>
      <c r="G17" s="68">
        <v>0.24</v>
      </c>
      <c r="H17" s="69">
        <v>0.41</v>
      </c>
      <c r="I17" s="2">
        <v>87</v>
      </c>
      <c r="J17" s="2">
        <v>78</v>
      </c>
      <c r="K17" s="41">
        <v>72</v>
      </c>
      <c r="L17" s="2">
        <f>AVERAGE(705,661,699,637,671,650,570,757,710)</f>
        <v>673.33333333333337</v>
      </c>
      <c r="M17" s="41" t="s">
        <v>1045</v>
      </c>
      <c r="N17" s="58">
        <f>AVERAGE(750,750,727,756,720,702,719,707,700,719)</f>
        <v>725</v>
      </c>
      <c r="O17" s="41" t="s">
        <v>1072</v>
      </c>
      <c r="P17" s="58">
        <v>650</v>
      </c>
      <c r="Q17" s="2" t="s">
        <v>1072</v>
      </c>
      <c r="R17" s="41" t="s">
        <v>33</v>
      </c>
      <c r="S17" s="58">
        <f>900*CA.US</f>
        <v>630</v>
      </c>
      <c r="T17" s="2" t="s">
        <v>981</v>
      </c>
      <c r="U17" s="41" t="s">
        <v>418</v>
      </c>
    </row>
    <row r="18" spans="1:21" ht="12.6" customHeight="1">
      <c r="A18" s="17" t="s">
        <v>592</v>
      </c>
      <c r="B18" s="66" t="s">
        <v>913</v>
      </c>
      <c r="C18" s="2" t="s">
        <v>811</v>
      </c>
      <c r="D18" s="38" t="s">
        <v>81</v>
      </c>
      <c r="E18" s="2" t="s">
        <v>812</v>
      </c>
      <c r="F18" s="146" t="s">
        <v>593</v>
      </c>
      <c r="G18" s="68">
        <v>0.3</v>
      </c>
      <c r="H18" s="69">
        <v>0.19500000000000001</v>
      </c>
      <c r="I18" s="2">
        <v>65.2</v>
      </c>
      <c r="J18" s="2">
        <v>62.6</v>
      </c>
      <c r="K18" s="41">
        <v>58</v>
      </c>
      <c r="L18" s="2">
        <f>AVERAGE(115,119,129,110,100,135,130)</f>
        <v>119.71428571428571</v>
      </c>
      <c r="M18" s="41" t="s">
        <v>1072</v>
      </c>
      <c r="N18" s="58">
        <f>AVERAGE(142,209,140,169,153,220,169)</f>
        <v>171.71428571428572</v>
      </c>
      <c r="O18" s="41" t="s">
        <v>1072</v>
      </c>
      <c r="P18" s="58">
        <v>130</v>
      </c>
      <c r="Q18" s="2" t="s">
        <v>1072</v>
      </c>
      <c r="R18" s="41" t="s">
        <v>906</v>
      </c>
      <c r="S18" s="58">
        <v>210</v>
      </c>
      <c r="T18" s="2" t="s">
        <v>1072</v>
      </c>
      <c r="U18" s="41" t="s">
        <v>30</v>
      </c>
    </row>
    <row r="19" spans="1:21" ht="12.6" customHeight="1">
      <c r="A19" s="17" t="s">
        <v>592</v>
      </c>
      <c r="B19" s="66" t="s">
        <v>901</v>
      </c>
      <c r="C19" s="2" t="s">
        <v>903</v>
      </c>
      <c r="D19" s="38">
        <v>2.8</v>
      </c>
      <c r="E19" s="2" t="s">
        <v>472</v>
      </c>
      <c r="F19" s="146" t="s">
        <v>593</v>
      </c>
      <c r="G19" s="68">
        <v>0.3</v>
      </c>
      <c r="H19" s="69">
        <v>0.65500000000000003</v>
      </c>
      <c r="I19" s="2">
        <v>106</v>
      </c>
      <c r="J19" s="2">
        <v>83.3</v>
      </c>
      <c r="K19" s="41">
        <v>77</v>
      </c>
      <c r="L19" s="2">
        <f>AVERAGE(760,879,818,883,754)</f>
        <v>818.8</v>
      </c>
      <c r="M19" s="41" t="s">
        <v>1045</v>
      </c>
      <c r="N19" s="2">
        <f>AVERAGE(880,875,878)</f>
        <v>877.66666666666663</v>
      </c>
      <c r="O19" s="41" t="s">
        <v>1072</v>
      </c>
      <c r="P19" s="58" t="s">
        <v>16</v>
      </c>
      <c r="Q19" s="2" t="s">
        <v>16</v>
      </c>
      <c r="R19" s="41" t="s">
        <v>16</v>
      </c>
      <c r="S19" s="58">
        <v>1000</v>
      </c>
      <c r="T19" s="2" t="s">
        <v>981</v>
      </c>
      <c r="U19" s="41" t="s">
        <v>32</v>
      </c>
    </row>
    <row r="20" spans="1:21" ht="12.6" customHeight="1">
      <c r="A20" s="17" t="s">
        <v>592</v>
      </c>
      <c r="B20" s="66" t="s">
        <v>691</v>
      </c>
      <c r="C20" s="2" t="s">
        <v>695</v>
      </c>
      <c r="D20" s="38" t="s">
        <v>69</v>
      </c>
      <c r="E20" s="2" t="s">
        <v>803</v>
      </c>
      <c r="F20" s="146" t="s">
        <v>593</v>
      </c>
      <c r="G20" s="68">
        <v>0.3</v>
      </c>
      <c r="H20" s="69">
        <v>0.31</v>
      </c>
      <c r="I20" s="2">
        <v>70.400000000000006</v>
      </c>
      <c r="J20" s="2">
        <v>65</v>
      </c>
      <c r="K20" s="41">
        <v>58</v>
      </c>
      <c r="L20" s="2">
        <f>AVERAGE(255,213,230,251,243,243,249,275,299)</f>
        <v>250.88888888888889</v>
      </c>
      <c r="M20" s="41" t="s">
        <v>1072</v>
      </c>
      <c r="N20" s="58">
        <f>AVERAGE(321,350,355,419,379,405,380,378,409,350,360)</f>
        <v>373.27272727272725</v>
      </c>
      <c r="O20" s="41" t="s">
        <v>1072</v>
      </c>
      <c r="P20" s="58">
        <v>270</v>
      </c>
      <c r="Q20" s="2" t="s">
        <v>1072</v>
      </c>
      <c r="R20" s="41" t="s">
        <v>30</v>
      </c>
      <c r="S20" s="58">
        <v>313</v>
      </c>
      <c r="T20" s="2" t="s">
        <v>1072</v>
      </c>
      <c r="U20" s="41" t="s">
        <v>30</v>
      </c>
    </row>
    <row r="21" spans="1:21" ht="12.6" customHeight="1">
      <c r="A21" s="17" t="s">
        <v>592</v>
      </c>
      <c r="B21" s="66" t="s">
        <v>866</v>
      </c>
      <c r="C21" s="2" t="s">
        <v>864</v>
      </c>
      <c r="D21" s="38" t="s">
        <v>81</v>
      </c>
      <c r="E21" s="2" t="s">
        <v>865</v>
      </c>
      <c r="F21" s="146" t="s">
        <v>593</v>
      </c>
      <c r="G21" s="68">
        <v>0.45</v>
      </c>
      <c r="H21" s="69">
        <v>0.49</v>
      </c>
      <c r="I21" s="2">
        <v>97.8</v>
      </c>
      <c r="J21" s="2">
        <v>75.7</v>
      </c>
      <c r="K21" s="41">
        <v>67</v>
      </c>
      <c r="L21" s="2">
        <f>AVERAGE(355,460,375,466,505,512,568)</f>
        <v>463</v>
      </c>
      <c r="M21" s="41" t="s">
        <v>1045</v>
      </c>
      <c r="N21" s="147">
        <f>AVERAGE(490,500)</f>
        <v>495</v>
      </c>
      <c r="O21" s="41" t="s">
        <v>1072</v>
      </c>
      <c r="P21" s="58">
        <f>599*CA.US</f>
        <v>419.29999999999995</v>
      </c>
      <c r="Q21" s="2" t="s">
        <v>1072</v>
      </c>
      <c r="R21" s="41" t="s">
        <v>758</v>
      </c>
      <c r="S21" s="147">
        <v>900</v>
      </c>
      <c r="T21" s="2" t="s">
        <v>967</v>
      </c>
      <c r="U21" s="41" t="s">
        <v>32</v>
      </c>
    </row>
    <row r="22" spans="1:21" ht="12.6" customHeight="1">
      <c r="A22" s="17" t="s">
        <v>592</v>
      </c>
      <c r="B22" s="66" t="s">
        <v>902</v>
      </c>
      <c r="C22" s="2" t="s">
        <v>899</v>
      </c>
      <c r="D22" s="38">
        <v>2.8</v>
      </c>
      <c r="E22" s="2" t="s">
        <v>900</v>
      </c>
      <c r="F22" s="146" t="s">
        <v>593</v>
      </c>
      <c r="G22" s="68">
        <v>1</v>
      </c>
      <c r="H22" s="69">
        <v>0.995</v>
      </c>
      <c r="I22" s="2">
        <v>175</v>
      </c>
      <c r="J22" s="2">
        <v>82.9</v>
      </c>
      <c r="K22" s="41">
        <v>72</v>
      </c>
      <c r="L22" s="2">
        <f>AVERAGE(1152,1188,1138,1226,1275)</f>
        <v>1195.8</v>
      </c>
      <c r="M22" s="41" t="s">
        <v>1013</v>
      </c>
      <c r="N22" s="147">
        <f>AVERAGE(1430)</f>
        <v>1430</v>
      </c>
      <c r="O22" s="41" t="s">
        <v>967</v>
      </c>
      <c r="P22" s="58">
        <v>1240</v>
      </c>
      <c r="Q22" s="2" t="s">
        <v>1072</v>
      </c>
      <c r="R22" s="41" t="s">
        <v>33</v>
      </c>
      <c r="S22" s="147">
        <v>1600</v>
      </c>
      <c r="T22" s="2" t="s">
        <v>967</v>
      </c>
      <c r="U22" s="41" t="s">
        <v>920</v>
      </c>
    </row>
    <row r="23" spans="1:21" ht="12.6" customHeight="1">
      <c r="A23" s="17" t="s">
        <v>592</v>
      </c>
      <c r="B23" s="66" t="s">
        <v>912</v>
      </c>
      <c r="C23" s="2" t="s">
        <v>905</v>
      </c>
      <c r="D23" s="38" t="s">
        <v>868</v>
      </c>
      <c r="E23" s="2" t="s">
        <v>869</v>
      </c>
      <c r="F23" s="146" t="s">
        <v>593</v>
      </c>
      <c r="G23" s="68">
        <v>1.1000000000000001</v>
      </c>
      <c r="H23" s="69" t="s">
        <v>16</v>
      </c>
      <c r="I23" s="2">
        <v>111</v>
      </c>
      <c r="J23" s="2">
        <v>69.5</v>
      </c>
      <c r="K23" s="41">
        <v>58</v>
      </c>
      <c r="L23" s="2">
        <f>AVERAGE(140,152,148,144,158,159)</f>
        <v>150.16666666666666</v>
      </c>
      <c r="M23" s="41" t="s">
        <v>1072</v>
      </c>
      <c r="N23" s="58">
        <f>AVERAGE(181,235,235,205,228,224,193,199,200)</f>
        <v>211.11111111111111</v>
      </c>
      <c r="O23" s="41" t="s">
        <v>1072</v>
      </c>
      <c r="P23" s="58">
        <v>240</v>
      </c>
      <c r="Q23" s="2" t="s">
        <v>1072</v>
      </c>
      <c r="R23" s="41" t="s">
        <v>30</v>
      </c>
      <c r="S23" s="58">
        <v>260</v>
      </c>
      <c r="T23" s="2" t="s">
        <v>981</v>
      </c>
      <c r="U23" s="41" t="s">
        <v>32</v>
      </c>
    </row>
    <row r="24" spans="1:21" ht="12.6" customHeight="1">
      <c r="A24" s="48" t="s">
        <v>592</v>
      </c>
      <c r="B24" s="60" t="s">
        <v>867</v>
      </c>
      <c r="C24" s="27" t="s">
        <v>692</v>
      </c>
      <c r="D24" s="32" t="s">
        <v>693</v>
      </c>
      <c r="E24" s="27" t="s">
        <v>862</v>
      </c>
      <c r="F24" s="51" t="s">
        <v>593</v>
      </c>
      <c r="G24" s="50">
        <v>1.1000000000000001</v>
      </c>
      <c r="H24" s="31">
        <v>0.57999999999999996</v>
      </c>
      <c r="I24" s="27">
        <v>118</v>
      </c>
      <c r="J24" s="27">
        <v>75</v>
      </c>
      <c r="K24" s="43">
        <v>62</v>
      </c>
      <c r="L24" s="27">
        <f>AVERAGE(358,349,346,400,375,365,365,428)</f>
        <v>373.25</v>
      </c>
      <c r="M24" s="43" t="s">
        <v>1072</v>
      </c>
      <c r="N24" s="52">
        <f>AVERAGE(406,436,435,433,464,450,500,439,425)</f>
        <v>443.11111111111109</v>
      </c>
      <c r="O24" s="43" t="s">
        <v>1045</v>
      </c>
      <c r="P24" s="52">
        <f>489*CA.US</f>
        <v>342.29999999999995</v>
      </c>
      <c r="Q24" s="27" t="s">
        <v>1072</v>
      </c>
      <c r="R24" s="43" t="s">
        <v>758</v>
      </c>
      <c r="S24" s="52">
        <v>470</v>
      </c>
      <c r="T24" s="27" t="s">
        <v>1072</v>
      </c>
      <c r="U24" s="43" t="s">
        <v>906</v>
      </c>
    </row>
    <row r="25" spans="1:21" ht="12.6" customHeight="1">
      <c r="A25" s="17" t="s">
        <v>592</v>
      </c>
      <c r="B25" s="66" t="s">
        <v>834</v>
      </c>
      <c r="C25" s="2">
        <v>19</v>
      </c>
      <c r="D25" s="38" t="s">
        <v>142</v>
      </c>
      <c r="E25" s="2">
        <v>28</v>
      </c>
      <c r="F25" s="146" t="s">
        <v>835</v>
      </c>
      <c r="G25" s="68" t="s">
        <v>142</v>
      </c>
      <c r="H25" s="69">
        <v>0.15</v>
      </c>
      <c r="I25" s="2">
        <v>37</v>
      </c>
      <c r="J25" s="2">
        <v>55</v>
      </c>
      <c r="K25" s="41">
        <v>49</v>
      </c>
      <c r="L25" s="2">
        <f>AVERAGE(168,179,140,169,194,158,124,189,190)</f>
        <v>167.88888888888889</v>
      </c>
      <c r="M25" s="41" t="s">
        <v>1072</v>
      </c>
      <c r="N25" s="58">
        <f>AVERAGE(225,185,198,247,240)</f>
        <v>219</v>
      </c>
      <c r="O25" s="41" t="s">
        <v>1045</v>
      </c>
      <c r="P25" s="58" t="s">
        <v>16</v>
      </c>
      <c r="Q25" s="2" t="s">
        <v>16</v>
      </c>
      <c r="R25" s="41" t="s">
        <v>16</v>
      </c>
      <c r="S25" s="58">
        <f>275*CA.US</f>
        <v>192.5</v>
      </c>
      <c r="T25" s="2" t="s">
        <v>1072</v>
      </c>
      <c r="U25" s="41" t="s">
        <v>418</v>
      </c>
    </row>
    <row r="26" spans="1:21" ht="12.6" customHeight="1">
      <c r="A26" s="48" t="s">
        <v>592</v>
      </c>
      <c r="B26" s="60" t="s">
        <v>937</v>
      </c>
      <c r="C26" s="27">
        <v>35</v>
      </c>
      <c r="D26" s="32" t="s">
        <v>142</v>
      </c>
      <c r="E26" s="27">
        <v>50</v>
      </c>
      <c r="F26" s="51" t="s">
        <v>835</v>
      </c>
      <c r="G26" s="50">
        <v>0.14000000000000001</v>
      </c>
      <c r="H26" s="31">
        <v>0.18</v>
      </c>
      <c r="I26" s="27">
        <v>46.5</v>
      </c>
      <c r="J26" s="27">
        <v>70</v>
      </c>
      <c r="K26" s="43">
        <v>67</v>
      </c>
      <c r="L26" s="58">
        <f>AVERAGE(160,164,179,178,198)</f>
        <v>175.8</v>
      </c>
      <c r="M26" s="41" t="s">
        <v>1072</v>
      </c>
      <c r="N26" s="58">
        <f>AVERAGE(198,245,228)</f>
        <v>223.66666666666666</v>
      </c>
      <c r="O26" s="41" t="s">
        <v>1045</v>
      </c>
      <c r="P26" s="52" t="s">
        <v>16</v>
      </c>
      <c r="Q26" s="27" t="s">
        <v>16</v>
      </c>
      <c r="R26" s="43" t="s">
        <v>16</v>
      </c>
      <c r="S26" s="52">
        <f>225*CA.US</f>
        <v>157.5</v>
      </c>
      <c r="T26" s="27" t="s">
        <v>1072</v>
      </c>
      <c r="U26" s="43" t="s">
        <v>418</v>
      </c>
    </row>
    <row r="27" spans="1:21" ht="12.6" customHeight="1">
      <c r="A27" s="97" t="s">
        <v>766</v>
      </c>
      <c r="B27" s="98"/>
      <c r="C27" s="34" t="s">
        <v>16</v>
      </c>
      <c r="D27" s="99" t="s">
        <v>16</v>
      </c>
      <c r="E27" s="34" t="s">
        <v>16</v>
      </c>
      <c r="F27" s="100" t="s">
        <v>16</v>
      </c>
      <c r="G27" s="101" t="s">
        <v>16</v>
      </c>
      <c r="H27" s="102" t="s">
        <v>16</v>
      </c>
      <c r="I27" s="34" t="s">
        <v>16</v>
      </c>
      <c r="J27" s="34" t="s">
        <v>16</v>
      </c>
      <c r="K27" s="34" t="s">
        <v>16</v>
      </c>
      <c r="L27" s="34" t="s">
        <v>16</v>
      </c>
      <c r="M27" s="34" t="s">
        <v>16</v>
      </c>
      <c r="N27" s="34" t="s">
        <v>16</v>
      </c>
      <c r="O27" s="34" t="s">
        <v>16</v>
      </c>
      <c r="P27" s="34" t="s">
        <v>16</v>
      </c>
      <c r="Q27" s="34" t="s">
        <v>16</v>
      </c>
      <c r="R27" s="34" t="s">
        <v>16</v>
      </c>
      <c r="S27" s="34" t="s">
        <v>16</v>
      </c>
      <c r="T27" s="34" t="s">
        <v>16</v>
      </c>
      <c r="U27" s="34" t="s">
        <v>16</v>
      </c>
    </row>
    <row r="28" spans="1:21" ht="11.25">
      <c r="A28" s="17" t="s">
        <v>762</v>
      </c>
      <c r="B28" s="17" t="s">
        <v>764</v>
      </c>
      <c r="C28" s="2">
        <v>12</v>
      </c>
      <c r="D28" s="3">
        <v>2.8</v>
      </c>
      <c r="E28" s="2">
        <f>1.5*C28</f>
        <v>18</v>
      </c>
      <c r="F28" s="146" t="s">
        <v>593</v>
      </c>
      <c r="G28" s="68">
        <v>0.18</v>
      </c>
      <c r="H28" s="69">
        <v>0.26</v>
      </c>
      <c r="I28" s="2">
        <v>68</v>
      </c>
      <c r="J28" s="2" t="s">
        <v>840</v>
      </c>
      <c r="K28" s="41">
        <v>67</v>
      </c>
      <c r="L28" s="71">
        <f>AVERAGE(539,550,450,491.55,530,585,532,548)</f>
        <v>528.19375000000002</v>
      </c>
      <c r="M28" s="72" t="s">
        <v>1045</v>
      </c>
      <c r="N28" s="2">
        <f>AVERAGE(590,622,690,600,699,610,650,700,670,749)</f>
        <v>658</v>
      </c>
      <c r="O28" s="2" t="s">
        <v>981</v>
      </c>
      <c r="P28" s="58" t="s">
        <v>16</v>
      </c>
      <c r="Q28" s="2" t="s">
        <v>16</v>
      </c>
      <c r="R28" s="41" t="s">
        <v>16</v>
      </c>
      <c r="S28" s="58">
        <v>570</v>
      </c>
      <c r="T28" s="2" t="s">
        <v>1072</v>
      </c>
      <c r="U28" s="41" t="s">
        <v>906</v>
      </c>
    </row>
    <row r="29" spans="1:21" ht="11.25">
      <c r="A29" s="17" t="s">
        <v>762</v>
      </c>
      <c r="B29" s="17" t="s">
        <v>763</v>
      </c>
      <c r="C29" s="2">
        <v>32</v>
      </c>
      <c r="D29" s="3">
        <v>1.8</v>
      </c>
      <c r="E29" s="2">
        <f>1.5*C29</f>
        <v>48</v>
      </c>
      <c r="F29" s="146" t="s">
        <v>593</v>
      </c>
      <c r="G29" s="68">
        <v>0.3</v>
      </c>
      <c r="H29" s="69">
        <v>0.21</v>
      </c>
      <c r="I29" s="2">
        <v>58</v>
      </c>
      <c r="J29" s="2">
        <v>75</v>
      </c>
      <c r="K29" s="41">
        <v>52</v>
      </c>
      <c r="L29" s="58">
        <f>AVERAGE(333,250,300,300,345,379,345,375,335)</f>
        <v>329.11111111111109</v>
      </c>
      <c r="M29" s="41" t="s">
        <v>1072</v>
      </c>
      <c r="N29" s="2">
        <f>AVERAGE(500,460,390,440,499,495,492,518,520)</f>
        <v>479.33333333333331</v>
      </c>
      <c r="O29" s="2" t="s">
        <v>1045</v>
      </c>
      <c r="P29" s="58">
        <v>400</v>
      </c>
      <c r="Q29" s="2" t="s">
        <v>981</v>
      </c>
      <c r="R29" s="41" t="s">
        <v>30</v>
      </c>
      <c r="S29" s="58">
        <v>430</v>
      </c>
      <c r="T29" s="2" t="s">
        <v>981</v>
      </c>
      <c r="U29" s="41" t="s">
        <v>32</v>
      </c>
    </row>
    <row r="30" spans="1:21" ht="12.6" customHeight="1">
      <c r="A30" s="48" t="s">
        <v>762</v>
      </c>
      <c r="B30" s="60" t="s">
        <v>861</v>
      </c>
      <c r="C30" s="27">
        <v>50</v>
      </c>
      <c r="D30" s="32">
        <v>2.8</v>
      </c>
      <c r="E30" s="27">
        <f>1.5*C30</f>
        <v>75</v>
      </c>
      <c r="F30" s="51" t="s">
        <v>593</v>
      </c>
      <c r="G30" s="50">
        <v>0.15</v>
      </c>
      <c r="H30" s="31">
        <v>0.28999999999999998</v>
      </c>
      <c r="I30" s="27">
        <v>91</v>
      </c>
      <c r="J30" s="27">
        <v>65</v>
      </c>
      <c r="K30" s="43">
        <v>52</v>
      </c>
      <c r="L30" s="27">
        <f>AVERAGE(698,897)</f>
        <v>797.5</v>
      </c>
      <c r="M30" s="43" t="s">
        <v>952</v>
      </c>
      <c r="N30" s="149">
        <f>AVERAGE(899)</f>
        <v>899</v>
      </c>
      <c r="O30" s="43" t="s">
        <v>1072</v>
      </c>
      <c r="P30" s="52" t="s">
        <v>16</v>
      </c>
      <c r="Q30" s="27" t="s">
        <v>16</v>
      </c>
      <c r="R30" s="43" t="s">
        <v>16</v>
      </c>
      <c r="S30" s="52">
        <v>792</v>
      </c>
      <c r="T30" s="27" t="s">
        <v>1072</v>
      </c>
      <c r="U30" s="43" t="s">
        <v>30</v>
      </c>
    </row>
    <row r="31" spans="1:21" ht="12.6" customHeight="1">
      <c r="A31" s="97" t="s">
        <v>894</v>
      </c>
      <c r="B31" s="98"/>
      <c r="C31" s="34" t="s">
        <v>16</v>
      </c>
      <c r="D31" s="99" t="s">
        <v>16</v>
      </c>
      <c r="E31" s="34" t="s">
        <v>16</v>
      </c>
      <c r="F31" s="100" t="s">
        <v>16</v>
      </c>
      <c r="G31" s="101" t="s">
        <v>16</v>
      </c>
      <c r="H31" s="102" t="s">
        <v>16</v>
      </c>
      <c r="I31" s="34" t="s">
        <v>16</v>
      </c>
      <c r="J31" s="34" t="s">
        <v>16</v>
      </c>
      <c r="K31" s="34" t="s">
        <v>16</v>
      </c>
      <c r="L31" s="34" t="s">
        <v>16</v>
      </c>
      <c r="M31" s="34" t="s">
        <v>16</v>
      </c>
      <c r="N31" s="34" t="s">
        <v>16</v>
      </c>
      <c r="O31" s="34" t="s">
        <v>16</v>
      </c>
      <c r="P31" s="34" t="s">
        <v>16</v>
      </c>
      <c r="Q31" s="34" t="s">
        <v>16</v>
      </c>
      <c r="R31" s="34" t="s">
        <v>16</v>
      </c>
      <c r="S31" s="34" t="s">
        <v>16</v>
      </c>
      <c r="T31" s="34" t="s">
        <v>16</v>
      </c>
      <c r="U31" s="34" t="s">
        <v>16</v>
      </c>
    </row>
    <row r="32" spans="1:21" ht="11.25">
      <c r="A32" s="17" t="s">
        <v>573</v>
      </c>
      <c r="B32" s="17" t="s">
        <v>895</v>
      </c>
      <c r="C32" s="2">
        <v>10</v>
      </c>
      <c r="D32" s="3">
        <v>2.8</v>
      </c>
      <c r="E32" s="2">
        <f>1.5*C32</f>
        <v>15</v>
      </c>
      <c r="F32" s="146" t="s">
        <v>593</v>
      </c>
      <c r="G32" s="68">
        <v>0.24</v>
      </c>
      <c r="H32" s="69">
        <v>0.625</v>
      </c>
      <c r="I32" s="2">
        <v>105.5</v>
      </c>
      <c r="J32" s="2">
        <v>86</v>
      </c>
      <c r="K32" s="41" t="s">
        <v>31</v>
      </c>
      <c r="L32" s="2">
        <f t="shared" ref="L32" si="3">AVERAGE(0)</f>
        <v>0</v>
      </c>
      <c r="M32" s="41" t="s">
        <v>16</v>
      </c>
      <c r="N32" s="58">
        <f t="shared" ref="N32" si="4">AVERAGE(0)</f>
        <v>0</v>
      </c>
      <c r="O32" s="2" t="s">
        <v>16</v>
      </c>
      <c r="P32" s="58" t="s">
        <v>16</v>
      </c>
      <c r="Q32" s="2" t="s">
        <v>16</v>
      </c>
      <c r="R32" s="41" t="s">
        <v>16</v>
      </c>
      <c r="S32" s="147">
        <v>530</v>
      </c>
      <c r="T32" s="2" t="s">
        <v>904</v>
      </c>
      <c r="U32" s="41" t="s">
        <v>32</v>
      </c>
    </row>
    <row r="33" spans="1:22" ht="11.25">
      <c r="A33" s="17" t="s">
        <v>573</v>
      </c>
      <c r="B33" s="17" t="s">
        <v>896</v>
      </c>
      <c r="C33" s="2">
        <v>12</v>
      </c>
      <c r="D33" s="3">
        <v>2</v>
      </c>
      <c r="E33" s="2">
        <f>1.5*C33</f>
        <v>18</v>
      </c>
      <c r="F33" s="146" t="s">
        <v>593</v>
      </c>
      <c r="G33" s="68">
        <v>0.2</v>
      </c>
      <c r="H33" s="69">
        <v>0.26</v>
      </c>
      <c r="I33" s="2">
        <v>59.4</v>
      </c>
      <c r="J33" s="2">
        <v>72.5</v>
      </c>
      <c r="K33" s="41">
        <v>67</v>
      </c>
      <c r="L33" s="58">
        <f>AVERAGE(249,256,269)</f>
        <v>258</v>
      </c>
      <c r="M33" s="41" t="s">
        <v>1013</v>
      </c>
      <c r="N33" s="2">
        <f>AVERAGE(309,320,299)</f>
        <v>309.33333333333331</v>
      </c>
      <c r="O33" s="2" t="s">
        <v>1033</v>
      </c>
      <c r="P33" s="58" t="s">
        <v>16</v>
      </c>
      <c r="Q33" s="2" t="s">
        <v>16</v>
      </c>
      <c r="R33" s="41" t="s">
        <v>16</v>
      </c>
      <c r="S33" s="58">
        <v>400</v>
      </c>
      <c r="T33" s="2" t="s">
        <v>904</v>
      </c>
      <c r="U33" s="41" t="s">
        <v>32</v>
      </c>
    </row>
    <row r="34" spans="1:22" ht="12.6" customHeight="1">
      <c r="A34" s="48" t="s">
        <v>496</v>
      </c>
      <c r="B34" s="150">
        <v>42416</v>
      </c>
      <c r="C34" s="27">
        <v>16</v>
      </c>
      <c r="D34" s="32">
        <v>2</v>
      </c>
      <c r="E34" s="27">
        <f>1.5*C34</f>
        <v>24</v>
      </c>
      <c r="F34" s="51" t="s">
        <v>593</v>
      </c>
      <c r="G34" s="50">
        <v>0.2</v>
      </c>
      <c r="H34" s="31">
        <v>0.58299999999999996</v>
      </c>
      <c r="I34" s="27">
        <v>115.3</v>
      </c>
      <c r="J34" s="27">
        <v>83</v>
      </c>
      <c r="K34" s="43">
        <v>77</v>
      </c>
      <c r="L34" s="27"/>
      <c r="M34" s="43"/>
      <c r="N34" s="149"/>
      <c r="O34" s="43"/>
      <c r="P34" s="52"/>
      <c r="Q34" s="27"/>
      <c r="R34" s="43"/>
      <c r="S34" s="149">
        <v>280</v>
      </c>
      <c r="T34" s="27" t="s">
        <v>1072</v>
      </c>
      <c r="U34" s="43" t="s">
        <v>906</v>
      </c>
    </row>
    <row r="35" spans="1:22" ht="12.6" customHeight="1">
      <c r="A35" s="97" t="s">
        <v>767</v>
      </c>
      <c r="B35" s="98"/>
      <c r="C35" s="34" t="s">
        <v>16</v>
      </c>
      <c r="D35" s="99" t="s">
        <v>16</v>
      </c>
      <c r="E35" s="34" t="s">
        <v>16</v>
      </c>
      <c r="F35" s="100" t="s">
        <v>16</v>
      </c>
      <c r="G35" s="101" t="s">
        <v>16</v>
      </c>
      <c r="H35" s="102" t="s">
        <v>16</v>
      </c>
      <c r="I35" s="34" t="s">
        <v>16</v>
      </c>
      <c r="J35" s="34" t="s">
        <v>16</v>
      </c>
      <c r="K35" s="34" t="s">
        <v>16</v>
      </c>
      <c r="L35" s="34" t="s">
        <v>16</v>
      </c>
      <c r="M35" s="34" t="s">
        <v>16</v>
      </c>
      <c r="N35" s="34" t="s">
        <v>16</v>
      </c>
      <c r="O35" s="34" t="s">
        <v>16</v>
      </c>
      <c r="P35" s="34" t="s">
        <v>16</v>
      </c>
      <c r="Q35" s="34" t="s">
        <v>16</v>
      </c>
      <c r="R35" s="34" t="s">
        <v>16</v>
      </c>
      <c r="S35" s="34" t="s">
        <v>16</v>
      </c>
      <c r="T35" s="34" t="s">
        <v>16</v>
      </c>
      <c r="U35" s="34" t="s">
        <v>16</v>
      </c>
    </row>
    <row r="36" spans="1:22" ht="11.25">
      <c r="A36" s="17" t="s">
        <v>164</v>
      </c>
      <c r="B36" s="17" t="s">
        <v>623</v>
      </c>
      <c r="C36" s="2">
        <v>12</v>
      </c>
      <c r="D36" s="3">
        <v>5.6</v>
      </c>
      <c r="E36" s="2">
        <f>1.5*C36</f>
        <v>18</v>
      </c>
      <c r="F36" s="146" t="s">
        <v>569</v>
      </c>
      <c r="G36" s="68">
        <v>0.3</v>
      </c>
      <c r="H36" s="69">
        <v>0.16200000000000001</v>
      </c>
      <c r="I36" s="2">
        <v>38.200000000000003</v>
      </c>
      <c r="J36" s="2">
        <v>50.5</v>
      </c>
      <c r="K36" s="41" t="s">
        <v>535</v>
      </c>
      <c r="L36" s="71">
        <f>AVERAGE(443,475,427,530)</f>
        <v>468.75</v>
      </c>
      <c r="M36" s="72" t="s">
        <v>973</v>
      </c>
      <c r="N36" s="2">
        <f>AVERAGE(539,590,633,530,515,550,625,665,625)</f>
        <v>585.77777777777783</v>
      </c>
      <c r="O36" s="2" t="s">
        <v>1072</v>
      </c>
      <c r="P36" s="71">
        <v>400</v>
      </c>
      <c r="Q36" s="140" t="s">
        <v>1072</v>
      </c>
      <c r="R36" s="72" t="s">
        <v>32</v>
      </c>
      <c r="S36" s="147">
        <v>607</v>
      </c>
      <c r="T36" s="2" t="s">
        <v>739</v>
      </c>
      <c r="U36" s="41" t="s">
        <v>32</v>
      </c>
    </row>
    <row r="37" spans="1:22" ht="11.25">
      <c r="A37" s="17" t="s">
        <v>164</v>
      </c>
      <c r="B37" s="17" t="s">
        <v>568</v>
      </c>
      <c r="C37" s="2">
        <v>12</v>
      </c>
      <c r="D37" s="3">
        <v>5.6</v>
      </c>
      <c r="E37" s="2">
        <f>1.5*C37</f>
        <v>18</v>
      </c>
      <c r="F37" s="146" t="s">
        <v>567</v>
      </c>
      <c r="G37" s="68">
        <v>0.5</v>
      </c>
      <c r="H37" s="69">
        <v>0.156</v>
      </c>
      <c r="I37" s="2">
        <v>42.5</v>
      </c>
      <c r="J37" s="2">
        <v>74.599999999999994</v>
      </c>
      <c r="K37" s="41">
        <v>67</v>
      </c>
      <c r="L37" s="58">
        <f>AVERAGE(498,520)</f>
        <v>509</v>
      </c>
      <c r="M37" s="41" t="s">
        <v>1013</v>
      </c>
      <c r="N37" s="2">
        <f>AVERAGE(650,750,653,679,749,672,700,730,700,750)</f>
        <v>703.3</v>
      </c>
      <c r="O37" s="2" t="s">
        <v>927</v>
      </c>
      <c r="P37" s="58">
        <v>700</v>
      </c>
      <c r="Q37" s="2" t="s">
        <v>981</v>
      </c>
      <c r="R37" s="41" t="s">
        <v>33</v>
      </c>
      <c r="S37" s="147">
        <v>871</v>
      </c>
      <c r="T37" s="2" t="s">
        <v>772</v>
      </c>
      <c r="U37" s="41" t="s">
        <v>418</v>
      </c>
    </row>
    <row r="38" spans="1:22" s="17" customFormat="1" ht="12.6" customHeight="1">
      <c r="A38" s="17" t="s">
        <v>164</v>
      </c>
      <c r="B38" s="17" t="s">
        <v>624</v>
      </c>
      <c r="C38" s="2">
        <v>15</v>
      </c>
      <c r="D38" s="3">
        <v>4.5</v>
      </c>
      <c r="E38" s="2">
        <f>1.5*C38</f>
        <v>22.5</v>
      </c>
      <c r="F38" s="146" t="s">
        <v>569</v>
      </c>
      <c r="G38" s="68">
        <v>0.3</v>
      </c>
      <c r="H38" s="69">
        <v>0.105</v>
      </c>
      <c r="I38" s="2">
        <v>30.7</v>
      </c>
      <c r="J38" s="2">
        <v>49.6</v>
      </c>
      <c r="K38" s="41" t="s">
        <v>535</v>
      </c>
      <c r="L38" s="58">
        <f>AVERAGE(328,306,370,320,391,300,371,307)</f>
        <v>336.625</v>
      </c>
      <c r="M38" s="41" t="s">
        <v>1072</v>
      </c>
      <c r="N38" s="2">
        <f>AVERAGE(385,411,435,430,465,424,455,439,360,450,403)</f>
        <v>423.36363636363637</v>
      </c>
      <c r="O38" s="2" t="s">
        <v>1033</v>
      </c>
      <c r="P38" s="58">
        <v>350</v>
      </c>
      <c r="Q38" s="2" t="s">
        <v>878</v>
      </c>
      <c r="R38" s="41" t="s">
        <v>33</v>
      </c>
      <c r="S38" s="147">
        <v>457</v>
      </c>
      <c r="T38" s="2" t="s">
        <v>631</v>
      </c>
      <c r="U38" s="41" t="s">
        <v>418</v>
      </c>
    </row>
    <row r="39" spans="1:22" s="17" customFormat="1" ht="12.6" customHeight="1">
      <c r="A39" s="17" t="s">
        <v>164</v>
      </c>
      <c r="B39" s="17" t="s">
        <v>625</v>
      </c>
      <c r="C39" s="2">
        <v>15</v>
      </c>
      <c r="D39" s="3">
        <v>4.5</v>
      </c>
      <c r="E39" s="2">
        <f t="shared" ref="E39:E48" si="5">1.5*C39</f>
        <v>22.5</v>
      </c>
      <c r="F39" s="146" t="s">
        <v>567</v>
      </c>
      <c r="G39" s="68">
        <v>0.5</v>
      </c>
      <c r="H39" s="69">
        <v>0.156</v>
      </c>
      <c r="I39" s="2">
        <v>38</v>
      </c>
      <c r="J39" s="2">
        <v>59</v>
      </c>
      <c r="K39" s="41">
        <v>52</v>
      </c>
      <c r="L39" s="58">
        <f>AVERAGE(360,305,399,365,331,420,261,335,375,356)</f>
        <v>350.7</v>
      </c>
      <c r="M39" s="41" t="s">
        <v>1072</v>
      </c>
      <c r="N39" s="2">
        <f>AVERAGE(450,440,542,395,575,400,498)</f>
        <v>471.42857142857144</v>
      </c>
      <c r="O39" s="2" t="s">
        <v>1045</v>
      </c>
      <c r="P39" s="58">
        <v>487</v>
      </c>
      <c r="Q39" s="2" t="s">
        <v>981</v>
      </c>
      <c r="R39" s="41" t="s">
        <v>30</v>
      </c>
      <c r="S39" s="147">
        <v>605</v>
      </c>
      <c r="T39" s="2" t="s">
        <v>772</v>
      </c>
      <c r="U39" s="41" t="s">
        <v>418</v>
      </c>
    </row>
    <row r="40" spans="1:22" s="17" customFormat="1" ht="12.6" customHeight="1">
      <c r="A40" s="17" t="s">
        <v>164</v>
      </c>
      <c r="B40" s="17" t="s">
        <v>726</v>
      </c>
      <c r="C40" s="2">
        <v>21</v>
      </c>
      <c r="D40" s="3">
        <v>1.8</v>
      </c>
      <c r="E40" s="2">
        <f t="shared" si="5"/>
        <v>31.5</v>
      </c>
      <c r="F40" s="146" t="s">
        <v>567</v>
      </c>
      <c r="G40" s="68">
        <v>0.7</v>
      </c>
      <c r="H40" s="69">
        <v>0.41199999999999998</v>
      </c>
      <c r="I40" s="2">
        <v>78.400000000000006</v>
      </c>
      <c r="J40" s="2">
        <v>69</v>
      </c>
      <c r="K40" s="41">
        <v>58</v>
      </c>
      <c r="L40" s="2">
        <f>AVERAGE(571,630,819,800,736,800)</f>
        <v>726</v>
      </c>
      <c r="M40" s="41" t="s">
        <v>1072</v>
      </c>
      <c r="N40" s="2">
        <f>AVERAGE(886,850,1239,1060,1150,1099,1149,1100,998)</f>
        <v>1059</v>
      </c>
      <c r="O40" s="2" t="s">
        <v>1013</v>
      </c>
      <c r="P40" s="58">
        <v>875</v>
      </c>
      <c r="Q40" s="2" t="s">
        <v>1072</v>
      </c>
      <c r="R40" s="41" t="s">
        <v>32</v>
      </c>
      <c r="S40" s="148">
        <v>2181</v>
      </c>
      <c r="T40" s="2" t="s">
        <v>772</v>
      </c>
      <c r="U40" s="41" t="s">
        <v>418</v>
      </c>
    </row>
    <row r="41" spans="1:22" s="17" customFormat="1" ht="12.6" customHeight="1">
      <c r="A41" s="17" t="s">
        <v>164</v>
      </c>
      <c r="B41" s="17" t="s">
        <v>619</v>
      </c>
      <c r="C41" s="2">
        <v>28</v>
      </c>
      <c r="D41" s="3">
        <v>1.9</v>
      </c>
      <c r="E41" s="2">
        <f t="shared" si="5"/>
        <v>42</v>
      </c>
      <c r="F41" s="146" t="s">
        <v>569</v>
      </c>
      <c r="G41" s="68">
        <v>0.7</v>
      </c>
      <c r="H41" s="69">
        <v>0.26400000000000001</v>
      </c>
      <c r="I41" s="2">
        <v>47</v>
      </c>
      <c r="J41" s="2">
        <v>53</v>
      </c>
      <c r="K41" s="41">
        <v>46</v>
      </c>
      <c r="L41" s="58">
        <f>AVERAGE(365,286,315,336,400,450,372,416,450)</f>
        <v>376.66666666666669</v>
      </c>
      <c r="M41" s="41" t="s">
        <v>1045</v>
      </c>
      <c r="N41" s="2">
        <f>AVERAGE(499,475,530,455,595,598,598,450)</f>
        <v>525</v>
      </c>
      <c r="O41" s="2" t="s">
        <v>981</v>
      </c>
      <c r="P41" s="58" t="s">
        <v>16</v>
      </c>
      <c r="Q41" s="2" t="s">
        <v>16</v>
      </c>
      <c r="R41" s="41" t="s">
        <v>16</v>
      </c>
      <c r="S41" s="2">
        <f>AVERAGE(0)</f>
        <v>0</v>
      </c>
      <c r="T41" s="2" t="s">
        <v>16</v>
      </c>
      <c r="U41" s="41" t="s">
        <v>16</v>
      </c>
    </row>
    <row r="42" spans="1:22" s="17" customFormat="1" ht="12.6" customHeight="1">
      <c r="A42" s="17" t="s">
        <v>164</v>
      </c>
      <c r="B42" s="17" t="s">
        <v>620</v>
      </c>
      <c r="C42" s="2">
        <v>28</v>
      </c>
      <c r="D42" s="3">
        <v>2</v>
      </c>
      <c r="E42" s="2">
        <f t="shared" si="5"/>
        <v>42</v>
      </c>
      <c r="F42" s="151" t="s">
        <v>567</v>
      </c>
      <c r="G42" s="68">
        <v>0.7</v>
      </c>
      <c r="H42" s="69">
        <v>0.24299999999999999</v>
      </c>
      <c r="I42" s="2">
        <v>51</v>
      </c>
      <c r="J42" s="2">
        <v>55</v>
      </c>
      <c r="K42" s="41">
        <v>46</v>
      </c>
      <c r="L42" s="58">
        <f>AVERAGE(427,407,424,445,440,432,396,405)</f>
        <v>422</v>
      </c>
      <c r="M42" s="41" t="s">
        <v>1010</v>
      </c>
      <c r="N42" s="2">
        <f>AVERAGE(535,529,515,500,450,450,485,500,500)</f>
        <v>496</v>
      </c>
      <c r="O42" s="2" t="s">
        <v>1072</v>
      </c>
      <c r="P42" s="58">
        <v>470</v>
      </c>
      <c r="Q42" s="2" t="s">
        <v>1072</v>
      </c>
      <c r="R42" s="41" t="s">
        <v>32</v>
      </c>
      <c r="S42" s="147">
        <v>631</v>
      </c>
      <c r="T42" s="2" t="s">
        <v>772</v>
      </c>
      <c r="U42" s="41" t="s">
        <v>418</v>
      </c>
    </row>
    <row r="43" spans="1:22" ht="12.6" customHeight="1">
      <c r="A43" s="17" t="s">
        <v>164</v>
      </c>
      <c r="B43" s="66" t="s">
        <v>626</v>
      </c>
      <c r="C43" s="2">
        <v>35</v>
      </c>
      <c r="D43" s="38">
        <v>1.2</v>
      </c>
      <c r="E43" s="2">
        <f>1.5*C43</f>
        <v>52.5</v>
      </c>
      <c r="F43" s="146" t="s">
        <v>567</v>
      </c>
      <c r="G43" s="68">
        <v>0.7</v>
      </c>
      <c r="H43" s="26">
        <v>0.49</v>
      </c>
      <c r="I43" s="2">
        <v>77.8</v>
      </c>
      <c r="J43" s="2">
        <v>63</v>
      </c>
      <c r="K43" s="41">
        <v>52</v>
      </c>
      <c r="L43" s="58">
        <f>AVERAGE(650,900,820,800,950,850,950,811,960,950)</f>
        <v>864.1</v>
      </c>
      <c r="M43" s="41" t="s">
        <v>1045</v>
      </c>
      <c r="N43" s="2">
        <f>AVERAGE(950,995,1125,1000,1118,986,1244,1395,1000)</f>
        <v>1090.3333333333333</v>
      </c>
      <c r="O43" s="2" t="s">
        <v>917</v>
      </c>
      <c r="P43" s="58" t="s">
        <v>16</v>
      </c>
      <c r="Q43" s="2" t="s">
        <v>16</v>
      </c>
      <c r="R43" s="41" t="s">
        <v>16</v>
      </c>
      <c r="S43" s="58">
        <v>1199</v>
      </c>
      <c r="T43" s="2" t="s">
        <v>686</v>
      </c>
      <c r="U43" s="41" t="s">
        <v>622</v>
      </c>
    </row>
    <row r="44" spans="1:22" ht="12.6" customHeight="1">
      <c r="A44" s="17" t="s">
        <v>164</v>
      </c>
      <c r="B44" s="66" t="s">
        <v>621</v>
      </c>
      <c r="C44" s="2">
        <v>35</v>
      </c>
      <c r="D44" s="38">
        <v>1.2</v>
      </c>
      <c r="E44" s="2">
        <f t="shared" si="5"/>
        <v>52.5</v>
      </c>
      <c r="F44" s="146" t="s">
        <v>567</v>
      </c>
      <c r="G44" s="68">
        <v>0.5</v>
      </c>
      <c r="H44" s="69">
        <v>0.47099999999999997</v>
      </c>
      <c r="I44" s="2">
        <v>62</v>
      </c>
      <c r="J44" s="2">
        <v>60.8</v>
      </c>
      <c r="K44" s="41">
        <v>52</v>
      </c>
      <c r="L44" s="58">
        <f>AVERAGE(550,761,890,870,780,890,899,832,890,800)</f>
        <v>816.2</v>
      </c>
      <c r="M44" s="41" t="s">
        <v>1072</v>
      </c>
      <c r="N44" s="2">
        <f>AVERAGE(792,895,1009,999,985,1000,1215,1008)</f>
        <v>987.875</v>
      </c>
      <c r="O44" s="2" t="s">
        <v>1033</v>
      </c>
      <c r="P44" s="58">
        <v>790</v>
      </c>
      <c r="Q44" s="2" t="s">
        <v>1072</v>
      </c>
      <c r="R44" s="41" t="s">
        <v>32</v>
      </c>
      <c r="S44" s="58">
        <v>1085</v>
      </c>
      <c r="T44" s="2" t="s">
        <v>981</v>
      </c>
      <c r="U44" s="41" t="s">
        <v>30</v>
      </c>
    </row>
    <row r="45" spans="1:22" ht="12.6" customHeight="1">
      <c r="A45" s="17" t="s">
        <v>164</v>
      </c>
      <c r="B45" s="66" t="s">
        <v>627</v>
      </c>
      <c r="C45" s="2">
        <v>35</v>
      </c>
      <c r="D45" s="38">
        <v>1.4</v>
      </c>
      <c r="E45" s="2">
        <f>C45*2</f>
        <v>70</v>
      </c>
      <c r="F45" s="146" t="s">
        <v>567</v>
      </c>
      <c r="G45" s="68">
        <v>0.7</v>
      </c>
      <c r="H45" s="69">
        <v>0.19800000000000001</v>
      </c>
      <c r="I45" s="2">
        <v>29</v>
      </c>
      <c r="J45" s="2">
        <v>55</v>
      </c>
      <c r="K45" s="41">
        <v>43</v>
      </c>
      <c r="L45" s="58">
        <f>AVERAGE(388,425,390,455,450,416,475,432,435,386,440)</f>
        <v>426.54545454545456</v>
      </c>
      <c r="M45" s="41" t="s">
        <v>1072</v>
      </c>
      <c r="N45" s="2">
        <f>AVERAGE(485,570,529,532,599,510,499,504,470,500)</f>
        <v>519.79999999999995</v>
      </c>
      <c r="O45" s="2" t="s">
        <v>1072</v>
      </c>
      <c r="P45" s="58" t="s">
        <v>16</v>
      </c>
      <c r="Q45" s="2" t="s">
        <v>16</v>
      </c>
      <c r="R45" s="41" t="s">
        <v>16</v>
      </c>
      <c r="S45" s="58">
        <v>580</v>
      </c>
      <c r="T45" s="2" t="s">
        <v>739</v>
      </c>
      <c r="U45" s="41" t="s">
        <v>33</v>
      </c>
      <c r="V45" s="5"/>
    </row>
    <row r="46" spans="1:22" ht="12.6" customHeight="1">
      <c r="A46" s="17" t="s">
        <v>164</v>
      </c>
      <c r="B46" s="66" t="s">
        <v>628</v>
      </c>
      <c r="C46" s="2">
        <v>40</v>
      </c>
      <c r="D46" s="38">
        <v>1.4</v>
      </c>
      <c r="E46" s="2">
        <f>C46*2</f>
        <v>80</v>
      </c>
      <c r="F46" s="146" t="s">
        <v>567</v>
      </c>
      <c r="G46" s="68">
        <v>0.7</v>
      </c>
      <c r="H46" s="69">
        <v>0.19800000000000001</v>
      </c>
      <c r="I46" s="2">
        <v>40</v>
      </c>
      <c r="J46" s="2">
        <v>55</v>
      </c>
      <c r="K46" s="41">
        <v>43</v>
      </c>
      <c r="L46" s="58">
        <f>AVERAGE(330,358,300,320,348,340,323,324,367,360)</f>
        <v>337</v>
      </c>
      <c r="M46" s="41" t="s">
        <v>1072</v>
      </c>
      <c r="N46" s="2">
        <f>AVERAGE(375,370,390,370,436,395,412,429,358,400)</f>
        <v>393.5</v>
      </c>
      <c r="O46" s="2" t="s">
        <v>1072</v>
      </c>
      <c r="P46" s="58">
        <v>375</v>
      </c>
      <c r="Q46" s="2" t="s">
        <v>1072</v>
      </c>
      <c r="R46" s="41" t="s">
        <v>32</v>
      </c>
      <c r="S46" s="147">
        <v>520</v>
      </c>
      <c r="T46" s="2" t="s">
        <v>772</v>
      </c>
      <c r="U46" s="41" t="s">
        <v>418</v>
      </c>
      <c r="V46" s="5"/>
    </row>
    <row r="47" spans="1:22" ht="12.6" customHeight="1">
      <c r="A47" s="17" t="s">
        <v>164</v>
      </c>
      <c r="B47" s="66" t="s">
        <v>570</v>
      </c>
      <c r="C47" s="2">
        <v>50</v>
      </c>
      <c r="D47" s="38">
        <v>1.1000000000000001</v>
      </c>
      <c r="E47" s="2">
        <f t="shared" si="5"/>
        <v>75</v>
      </c>
      <c r="F47" s="146" t="s">
        <v>567</v>
      </c>
      <c r="G47" s="68">
        <v>1</v>
      </c>
      <c r="H47" s="69">
        <v>0.42799999999999999</v>
      </c>
      <c r="I47" s="2">
        <v>57</v>
      </c>
      <c r="J47" s="2">
        <v>69.599999999999994</v>
      </c>
      <c r="K47" s="41">
        <v>58</v>
      </c>
      <c r="L47" s="58">
        <f>AVERAGE(710,572,650,593,589,630,580,650,688,669,618,640)</f>
        <v>632.41666666666663</v>
      </c>
      <c r="M47" s="41" t="s">
        <v>1013</v>
      </c>
      <c r="N47" s="2">
        <f>AVERAGE(700,795,720,795,849,785,765,699,800,999,770,850)</f>
        <v>793.91666666666663</v>
      </c>
      <c r="O47" s="2" t="s">
        <v>1045</v>
      </c>
      <c r="P47" s="58">
        <v>750</v>
      </c>
      <c r="Q47" s="2" t="s">
        <v>981</v>
      </c>
      <c r="R47" s="41" t="s">
        <v>33</v>
      </c>
      <c r="S47" s="58">
        <v>810</v>
      </c>
      <c r="T47" s="2" t="s">
        <v>1072</v>
      </c>
      <c r="U47" s="41" t="s">
        <v>32</v>
      </c>
    </row>
    <row r="48" spans="1:22" ht="12.6" customHeight="1">
      <c r="A48" s="17" t="s">
        <v>164</v>
      </c>
      <c r="B48" s="1" t="s">
        <v>571</v>
      </c>
      <c r="C48" s="2">
        <v>50</v>
      </c>
      <c r="D48" s="38">
        <v>1.5</v>
      </c>
      <c r="E48" s="2">
        <f t="shared" si="5"/>
        <v>75</v>
      </c>
      <c r="F48" s="146" t="s">
        <v>569</v>
      </c>
      <c r="G48" s="68">
        <v>0.9</v>
      </c>
      <c r="H48" s="69">
        <v>0.27500000000000002</v>
      </c>
      <c r="I48" s="2">
        <v>45</v>
      </c>
      <c r="J48" s="2">
        <v>58</v>
      </c>
      <c r="K48" s="41">
        <v>52</v>
      </c>
      <c r="L48" s="58">
        <f>AVERAGE(415,348,389,379,370,330,375,349,375,355)</f>
        <v>368.5</v>
      </c>
      <c r="M48" s="41" t="s">
        <v>1072</v>
      </c>
      <c r="N48" s="2">
        <f>AVERAGE(500,551,500,555,492,540,635,635)</f>
        <v>551</v>
      </c>
      <c r="O48" s="2" t="s">
        <v>1072</v>
      </c>
      <c r="P48" s="58">
        <v>500</v>
      </c>
      <c r="Q48" s="2" t="s">
        <v>1072</v>
      </c>
      <c r="R48" s="41" t="s">
        <v>32</v>
      </c>
      <c r="S48" s="147">
        <v>840</v>
      </c>
      <c r="T48" s="2" t="s">
        <v>981</v>
      </c>
      <c r="U48" s="41" t="s">
        <v>33</v>
      </c>
    </row>
    <row r="49" spans="1:21" ht="12.6" customHeight="1">
      <c r="A49" s="17" t="s">
        <v>164</v>
      </c>
      <c r="B49" s="17" t="s">
        <v>572</v>
      </c>
      <c r="C49" s="2">
        <v>75</v>
      </c>
      <c r="D49" s="3">
        <v>1.8</v>
      </c>
      <c r="E49" s="2">
        <f>1.5*C49</f>
        <v>112.5</v>
      </c>
      <c r="F49" s="151" t="s">
        <v>567</v>
      </c>
      <c r="G49" s="68">
        <v>0.9</v>
      </c>
      <c r="H49" s="69">
        <v>0.42699999999999999</v>
      </c>
      <c r="I49" s="2">
        <v>73.8</v>
      </c>
      <c r="J49" s="2">
        <v>57.9</v>
      </c>
      <c r="K49" s="41">
        <v>52</v>
      </c>
      <c r="L49" s="52">
        <f>AVERAGE(480,368,400,494,520,500,491,416)</f>
        <v>458.625</v>
      </c>
      <c r="M49" s="43" t="s">
        <v>1072</v>
      </c>
      <c r="N49" s="2">
        <f>AVERAGE(580,499,523,534,550,575,590)</f>
        <v>550.14285714285711</v>
      </c>
      <c r="O49" s="2" t="s">
        <v>1072</v>
      </c>
      <c r="P49" s="52">
        <v>590</v>
      </c>
      <c r="Q49" s="27" t="s">
        <v>1072</v>
      </c>
      <c r="R49" s="43" t="s">
        <v>32</v>
      </c>
      <c r="S49" s="147">
        <v>733</v>
      </c>
      <c r="T49" s="27" t="s">
        <v>772</v>
      </c>
      <c r="U49" s="41" t="s">
        <v>418</v>
      </c>
    </row>
    <row r="50" spans="1:21" ht="12.6" customHeight="1">
      <c r="A50" s="97" t="s">
        <v>768</v>
      </c>
      <c r="B50" s="98"/>
      <c r="C50" s="34" t="s">
        <v>16</v>
      </c>
      <c r="D50" s="99" t="s">
        <v>16</v>
      </c>
      <c r="E50" s="34" t="s">
        <v>16</v>
      </c>
      <c r="F50" s="100" t="s">
        <v>16</v>
      </c>
      <c r="G50" s="101" t="s">
        <v>16</v>
      </c>
      <c r="H50" s="102" t="s">
        <v>16</v>
      </c>
      <c r="I50" s="34" t="s">
        <v>16</v>
      </c>
      <c r="J50" s="34" t="s">
        <v>16</v>
      </c>
      <c r="K50" s="34" t="s">
        <v>16</v>
      </c>
      <c r="L50" s="34" t="s">
        <v>16</v>
      </c>
      <c r="M50" s="34" t="s">
        <v>16</v>
      </c>
      <c r="N50" s="34" t="s">
        <v>16</v>
      </c>
      <c r="O50" s="34" t="s">
        <v>16</v>
      </c>
      <c r="P50" s="34" t="s">
        <v>16</v>
      </c>
      <c r="Q50" s="34" t="s">
        <v>16</v>
      </c>
      <c r="R50" s="34" t="s">
        <v>16</v>
      </c>
      <c r="S50" s="34" t="s">
        <v>16</v>
      </c>
      <c r="T50" s="34" t="s">
        <v>16</v>
      </c>
      <c r="U50" s="34" t="s">
        <v>16</v>
      </c>
    </row>
    <row r="51" spans="1:21" ht="12.6" customHeight="1">
      <c r="A51" s="17" t="s">
        <v>599</v>
      </c>
      <c r="B51" s="17" t="s">
        <v>992</v>
      </c>
      <c r="C51" s="2">
        <v>19</v>
      </c>
      <c r="D51" s="3">
        <v>3.5</v>
      </c>
      <c r="E51" s="2">
        <f t="shared" ref="E51" si="6">C51*1.5</f>
        <v>28.5</v>
      </c>
      <c r="F51" s="146" t="s">
        <v>569</v>
      </c>
      <c r="G51" s="68">
        <v>1.75</v>
      </c>
      <c r="H51" s="69">
        <v>0.2</v>
      </c>
      <c r="I51" s="2" t="s">
        <v>16</v>
      </c>
      <c r="J51" s="2" t="s">
        <v>16</v>
      </c>
      <c r="K51" s="41">
        <v>55</v>
      </c>
      <c r="L51" s="2" t="s">
        <v>16</v>
      </c>
      <c r="M51" s="41" t="s">
        <v>16</v>
      </c>
      <c r="N51" s="2" t="s">
        <v>16</v>
      </c>
      <c r="O51" s="2" t="s">
        <v>16</v>
      </c>
      <c r="P51" s="58" t="s">
        <v>16</v>
      </c>
      <c r="Q51" s="2" t="s">
        <v>16</v>
      </c>
      <c r="R51" s="41" t="s">
        <v>16</v>
      </c>
      <c r="S51" s="58" t="s">
        <v>16</v>
      </c>
      <c r="T51" s="2" t="s">
        <v>16</v>
      </c>
      <c r="U51" s="41" t="s">
        <v>16</v>
      </c>
    </row>
    <row r="52" spans="1:21" ht="12.6" customHeight="1">
      <c r="A52" s="17" t="s">
        <v>599</v>
      </c>
      <c r="B52" s="17" t="s">
        <v>990</v>
      </c>
      <c r="C52" s="2">
        <v>35</v>
      </c>
      <c r="D52" s="3">
        <v>1.8</v>
      </c>
      <c r="E52" s="2">
        <f t="shared" ref="E52" si="7">C52*1.5</f>
        <v>52.5</v>
      </c>
      <c r="F52" s="146" t="s">
        <v>569</v>
      </c>
      <c r="G52" s="68" t="s">
        <v>16</v>
      </c>
      <c r="H52" s="69" t="s">
        <v>16</v>
      </c>
      <c r="I52" s="2" t="s">
        <v>16</v>
      </c>
      <c r="J52" s="2" t="s">
        <v>16</v>
      </c>
      <c r="K52" s="41" t="s">
        <v>16</v>
      </c>
      <c r="L52" s="2">
        <f>AVERAGE(337,289,328)</f>
        <v>318</v>
      </c>
      <c r="M52" s="41" t="s">
        <v>1072</v>
      </c>
      <c r="N52" s="2">
        <f>AVERAGE(447,429)</f>
        <v>438</v>
      </c>
      <c r="O52" s="2" t="s">
        <v>1072</v>
      </c>
      <c r="P52" s="58">
        <v>487</v>
      </c>
      <c r="Q52" s="2" t="s">
        <v>1072</v>
      </c>
      <c r="R52" s="41" t="s">
        <v>30</v>
      </c>
      <c r="S52" s="58" t="s">
        <v>16</v>
      </c>
      <c r="T52" s="2" t="s">
        <v>16</v>
      </c>
      <c r="U52" s="41" t="s">
        <v>16</v>
      </c>
    </row>
    <row r="53" spans="1:21" ht="12.6" customHeight="1">
      <c r="A53" s="17" t="s">
        <v>599</v>
      </c>
      <c r="B53" s="17" t="s">
        <v>605</v>
      </c>
      <c r="C53" s="2">
        <v>35</v>
      </c>
      <c r="D53" s="3">
        <v>2</v>
      </c>
      <c r="E53" s="2">
        <f t="shared" ref="E53:E58" si="8">C53*1.5</f>
        <v>52.5</v>
      </c>
      <c r="F53" s="146" t="s">
        <v>569</v>
      </c>
      <c r="G53" s="68">
        <v>1</v>
      </c>
      <c r="H53" s="69">
        <v>0.107</v>
      </c>
      <c r="I53" s="2">
        <v>28</v>
      </c>
      <c r="J53" s="2">
        <v>49</v>
      </c>
      <c r="K53" s="41">
        <v>40</v>
      </c>
      <c r="L53" s="2">
        <f>AVERAGE(250,280,281,255,339,309,285,280,256)</f>
        <v>281.66666666666669</v>
      </c>
      <c r="M53" s="41" t="s">
        <v>1045</v>
      </c>
      <c r="N53" s="2">
        <f>AVERAGE(420,425,487,619,538,566)</f>
        <v>509.16666666666669</v>
      </c>
      <c r="O53" s="2" t="s">
        <v>1072</v>
      </c>
      <c r="P53" s="58" t="s">
        <v>16</v>
      </c>
      <c r="Q53" s="2" t="s">
        <v>16</v>
      </c>
      <c r="R53" s="41" t="s">
        <v>16</v>
      </c>
      <c r="S53" s="58">
        <v>395</v>
      </c>
      <c r="T53" s="2" t="s">
        <v>878</v>
      </c>
      <c r="U53" s="41" t="s">
        <v>28</v>
      </c>
    </row>
    <row r="54" spans="1:21" ht="12.6" customHeight="1">
      <c r="A54" s="17" t="s">
        <v>599</v>
      </c>
      <c r="B54" s="17" t="s">
        <v>603</v>
      </c>
      <c r="C54" s="2">
        <v>50</v>
      </c>
      <c r="D54" s="3">
        <v>0.95</v>
      </c>
      <c r="E54" s="2">
        <f t="shared" si="8"/>
        <v>75</v>
      </c>
      <c r="F54" s="146" t="s">
        <v>569</v>
      </c>
      <c r="G54" s="68">
        <v>1.1000000000000001</v>
      </c>
      <c r="H54" s="69">
        <v>0.60499999999999998</v>
      </c>
      <c r="I54" s="2">
        <v>47.8</v>
      </c>
      <c r="J54" s="2">
        <v>79</v>
      </c>
      <c r="K54" s="41">
        <v>72</v>
      </c>
      <c r="L54" s="2">
        <f>AVERAGE(2150,1800,2200,1475,2025,1690,2253,1623,1820)</f>
        <v>1892.8888888888889</v>
      </c>
      <c r="M54" s="41" t="s">
        <v>1045</v>
      </c>
      <c r="N54" s="2">
        <f>AVERAGE(2399,3278,3000,2895,2899,2700,2846,3500,3250)</f>
        <v>2974.1111111111113</v>
      </c>
      <c r="O54" s="2" t="s">
        <v>1072</v>
      </c>
      <c r="P54" s="58">
        <v>1725</v>
      </c>
      <c r="Q54" s="2" t="s">
        <v>816</v>
      </c>
      <c r="R54" s="41" t="s">
        <v>28</v>
      </c>
      <c r="S54" s="58">
        <v>2400</v>
      </c>
      <c r="T54" s="2" t="s">
        <v>996</v>
      </c>
      <c r="U54" s="41" t="s">
        <v>514</v>
      </c>
    </row>
    <row r="55" spans="1:21" ht="12.6" customHeight="1">
      <c r="A55" s="17" t="s">
        <v>599</v>
      </c>
      <c r="B55" s="17" t="s">
        <v>600</v>
      </c>
      <c r="C55" s="2">
        <v>50</v>
      </c>
      <c r="D55" s="3">
        <v>1.2</v>
      </c>
      <c r="E55" s="2">
        <f t="shared" si="8"/>
        <v>75</v>
      </c>
      <c r="F55" s="146" t="s">
        <v>569</v>
      </c>
      <c r="G55" s="68">
        <v>1.1000000000000001</v>
      </c>
      <c r="H55" s="69">
        <v>0.32500000000000001</v>
      </c>
      <c r="I55" s="2">
        <v>39</v>
      </c>
      <c r="J55" s="2">
        <v>62</v>
      </c>
      <c r="K55" s="41">
        <v>55</v>
      </c>
      <c r="L55" s="2">
        <f>AVERAGE(325,280,350,385,380,300,320,346)</f>
        <v>335.75</v>
      </c>
      <c r="M55" s="41" t="s">
        <v>1045</v>
      </c>
      <c r="N55" s="2">
        <f>AVERAGE(500,450,660,499,430,455,588,522,695,495,526)</f>
        <v>529.09090909090912</v>
      </c>
      <c r="O55" s="2" t="s">
        <v>1072</v>
      </c>
      <c r="P55" s="58">
        <f>449*CA.US</f>
        <v>314.29999999999995</v>
      </c>
      <c r="Q55" s="2" t="s">
        <v>996</v>
      </c>
      <c r="R55" s="41" t="s">
        <v>758</v>
      </c>
      <c r="S55" s="58">
        <v>900</v>
      </c>
      <c r="T55" s="2" t="s">
        <v>996</v>
      </c>
      <c r="U55" s="41" t="s">
        <v>514</v>
      </c>
    </row>
    <row r="56" spans="1:21" ht="12.6" customHeight="1">
      <c r="A56" s="17" t="s">
        <v>599</v>
      </c>
      <c r="B56" s="66" t="s">
        <v>1002</v>
      </c>
      <c r="C56" s="2">
        <v>50</v>
      </c>
      <c r="D56" s="38">
        <v>1.4</v>
      </c>
      <c r="E56" s="2">
        <f t="shared" si="8"/>
        <v>75</v>
      </c>
      <c r="F56" s="146" t="s">
        <v>569</v>
      </c>
      <c r="G56" s="68">
        <v>1</v>
      </c>
      <c r="H56" s="69">
        <v>0.246</v>
      </c>
      <c r="I56" s="2">
        <v>41.7</v>
      </c>
      <c r="J56" s="2">
        <v>55</v>
      </c>
      <c r="K56" s="41">
        <v>48</v>
      </c>
      <c r="L56" s="2">
        <f>AVERAGE(235,195,199,228,217,171,200,150,225)</f>
        <v>202.22222222222223</v>
      </c>
      <c r="M56" s="41" t="s">
        <v>1072</v>
      </c>
      <c r="N56" s="58">
        <f>AVERAGE(315,329,251,280,259,249,305,308,267,338,285)</f>
        <v>289.63636363636363</v>
      </c>
      <c r="O56" s="41" t="s">
        <v>1072</v>
      </c>
      <c r="P56" s="58">
        <v>345</v>
      </c>
      <c r="Q56" s="2" t="s">
        <v>996</v>
      </c>
      <c r="R56" s="41" t="s">
        <v>28</v>
      </c>
      <c r="S56" s="147">
        <v>675</v>
      </c>
      <c r="T56" s="2" t="s">
        <v>996</v>
      </c>
      <c r="U56" s="41" t="s">
        <v>514</v>
      </c>
    </row>
    <row r="57" spans="1:21" ht="12.6" customHeight="1">
      <c r="A57" s="17" t="s">
        <v>599</v>
      </c>
      <c r="B57" s="17" t="s">
        <v>991</v>
      </c>
      <c r="C57" s="2">
        <v>50</v>
      </c>
      <c r="D57" s="3">
        <v>1.5</v>
      </c>
      <c r="E57" s="2">
        <f t="shared" si="8"/>
        <v>75</v>
      </c>
      <c r="F57" s="146" t="s">
        <v>569</v>
      </c>
      <c r="G57" s="68">
        <v>1</v>
      </c>
      <c r="H57" s="69">
        <v>0.29499999999999998</v>
      </c>
      <c r="I57" s="2" t="s">
        <v>16</v>
      </c>
      <c r="J57" s="2" t="s">
        <v>16</v>
      </c>
      <c r="K57" s="41">
        <v>40</v>
      </c>
      <c r="L57" s="2">
        <f>AVERAGE(279,253,210,305)</f>
        <v>261.75</v>
      </c>
      <c r="M57" s="41" t="s">
        <v>1072</v>
      </c>
      <c r="N57" s="2">
        <f>AVERAGE(379,419)</f>
        <v>399</v>
      </c>
      <c r="O57" s="2" t="s">
        <v>1010</v>
      </c>
      <c r="P57" s="58">
        <v>750</v>
      </c>
      <c r="Q57" s="2" t="s">
        <v>996</v>
      </c>
      <c r="R57" s="41" t="s">
        <v>514</v>
      </c>
      <c r="S57" s="58">
        <v>800</v>
      </c>
      <c r="T57" s="2" t="s">
        <v>996</v>
      </c>
      <c r="U57" s="41" t="s">
        <v>514</v>
      </c>
    </row>
    <row r="58" spans="1:21" ht="12.6" customHeight="1">
      <c r="A58" s="17" t="s">
        <v>599</v>
      </c>
      <c r="B58" s="17" t="s">
        <v>1003</v>
      </c>
      <c r="C58" s="2">
        <v>50</v>
      </c>
      <c r="D58" s="3">
        <v>1.8</v>
      </c>
      <c r="E58" s="2">
        <f t="shared" si="8"/>
        <v>75</v>
      </c>
      <c r="F58" s="146" t="s">
        <v>569</v>
      </c>
      <c r="G58" s="68">
        <v>1</v>
      </c>
      <c r="H58" s="69">
        <v>0.188</v>
      </c>
      <c r="I58" s="2">
        <v>39.299999999999997</v>
      </c>
      <c r="J58" s="2">
        <v>48</v>
      </c>
      <c r="K58" s="41">
        <v>40</v>
      </c>
      <c r="L58" s="2">
        <f>AVERAGE(100,128,50,67,51,70,62,74)</f>
        <v>75.25</v>
      </c>
      <c r="M58" s="41" t="s">
        <v>1072</v>
      </c>
      <c r="N58" s="2">
        <f>AVERAGE(103,110,180,120,107,94,99,109,134,127)</f>
        <v>118.3</v>
      </c>
      <c r="O58" s="2" t="s">
        <v>1072</v>
      </c>
      <c r="P58" s="58">
        <v>195</v>
      </c>
      <c r="Q58" s="2" t="s">
        <v>1072</v>
      </c>
      <c r="R58" s="41" t="s">
        <v>28</v>
      </c>
      <c r="S58" s="58">
        <v>290</v>
      </c>
      <c r="T58" s="2" t="s">
        <v>1072</v>
      </c>
      <c r="U58" s="41" t="s">
        <v>30</v>
      </c>
    </row>
    <row r="59" spans="1:21" ht="12.6" customHeight="1">
      <c r="A59" s="17" t="s">
        <v>599</v>
      </c>
      <c r="B59" s="17" t="s">
        <v>988</v>
      </c>
      <c r="C59" s="2">
        <v>85</v>
      </c>
      <c r="D59" s="3">
        <v>1.5</v>
      </c>
      <c r="E59" s="2">
        <f t="shared" ref="E59:E62" si="9">C59*1.5</f>
        <v>127.5</v>
      </c>
      <c r="F59" s="146" t="s">
        <v>569</v>
      </c>
      <c r="G59" s="68">
        <v>1</v>
      </c>
      <c r="H59" s="69">
        <v>0.73</v>
      </c>
      <c r="I59" s="2">
        <v>82.5</v>
      </c>
      <c r="J59" s="2">
        <v>62.5</v>
      </c>
      <c r="K59" s="41">
        <v>60</v>
      </c>
      <c r="L59" s="2">
        <f t="shared" ref="L59" si="10">AVERAGE(0)</f>
        <v>0</v>
      </c>
      <c r="M59" s="41" t="s">
        <v>16</v>
      </c>
      <c r="N59" s="2">
        <f t="shared" ref="N59" si="11">AVERAGE(0)</f>
        <v>0</v>
      </c>
      <c r="O59" s="2" t="s">
        <v>16</v>
      </c>
      <c r="P59" s="58" t="s">
        <v>16</v>
      </c>
      <c r="Q59" s="2" t="s">
        <v>16</v>
      </c>
      <c r="R59" s="41" t="s">
        <v>16</v>
      </c>
      <c r="S59" s="58" t="s">
        <v>16</v>
      </c>
      <c r="T59" s="2" t="s">
        <v>16</v>
      </c>
      <c r="U59" s="41" t="s">
        <v>16</v>
      </c>
    </row>
    <row r="60" spans="1:21" ht="12.6" customHeight="1">
      <c r="A60" s="17" t="s">
        <v>599</v>
      </c>
      <c r="B60" s="1" t="s">
        <v>987</v>
      </c>
      <c r="C60" s="2">
        <v>85</v>
      </c>
      <c r="D60" s="38">
        <v>1.8</v>
      </c>
      <c r="E60" s="2">
        <f t="shared" si="9"/>
        <v>127.5</v>
      </c>
      <c r="F60" s="146" t="s">
        <v>569</v>
      </c>
      <c r="G60" s="68">
        <v>1</v>
      </c>
      <c r="H60" s="69">
        <v>0.47</v>
      </c>
      <c r="I60" s="2">
        <v>68.2</v>
      </c>
      <c r="J60" s="2">
        <v>63.5</v>
      </c>
      <c r="K60" s="41">
        <v>58</v>
      </c>
      <c r="L60" s="58">
        <f>AVERAGE(500)</f>
        <v>500</v>
      </c>
      <c r="M60" s="41" t="s">
        <v>1072</v>
      </c>
      <c r="N60" s="2">
        <f>AVERAGE(895)</f>
        <v>895</v>
      </c>
      <c r="O60" s="2" t="s">
        <v>996</v>
      </c>
      <c r="P60" s="58">
        <v>750</v>
      </c>
      <c r="Q60" s="2" t="s">
        <v>996</v>
      </c>
      <c r="R60" s="41" t="s">
        <v>514</v>
      </c>
      <c r="S60" s="58">
        <v>1300</v>
      </c>
      <c r="T60" s="2" t="s">
        <v>996</v>
      </c>
      <c r="U60" s="41" t="s">
        <v>514</v>
      </c>
    </row>
    <row r="61" spans="1:21" ht="12.6" customHeight="1">
      <c r="A61" s="17" t="s">
        <v>599</v>
      </c>
      <c r="B61" s="17" t="s">
        <v>989</v>
      </c>
      <c r="C61" s="2">
        <v>100</v>
      </c>
      <c r="D61" s="3">
        <v>2</v>
      </c>
      <c r="E61" s="2">
        <f t="shared" ref="E61" si="12">C61*1.5</f>
        <v>150</v>
      </c>
      <c r="F61" s="146" t="s">
        <v>569</v>
      </c>
      <c r="G61" s="68">
        <v>1</v>
      </c>
      <c r="H61" s="69">
        <v>0.51500000000000001</v>
      </c>
      <c r="I61" s="2">
        <v>91</v>
      </c>
      <c r="J61" s="2">
        <v>63</v>
      </c>
      <c r="K61" s="41">
        <v>58</v>
      </c>
      <c r="L61" s="2">
        <f>AVERAGE(402,400)</f>
        <v>401</v>
      </c>
      <c r="M61" s="41" t="s">
        <v>1045</v>
      </c>
      <c r="N61" s="2">
        <f>AVERAGE(597,498,523)</f>
        <v>539.33333333333337</v>
      </c>
      <c r="O61" s="2" t="s">
        <v>1072</v>
      </c>
      <c r="P61" s="58">
        <v>545</v>
      </c>
      <c r="Q61" s="2" t="s">
        <v>996</v>
      </c>
      <c r="R61" s="41" t="s">
        <v>28</v>
      </c>
      <c r="S61" s="147" t="s">
        <v>16</v>
      </c>
      <c r="T61" s="2" t="s">
        <v>16</v>
      </c>
      <c r="U61" s="41" t="s">
        <v>16</v>
      </c>
    </row>
    <row r="62" spans="1:21" ht="12.6" customHeight="1">
      <c r="A62" s="17" t="s">
        <v>599</v>
      </c>
      <c r="B62" s="17" t="s">
        <v>1001</v>
      </c>
      <c r="C62" s="2">
        <v>135</v>
      </c>
      <c r="D62" s="3">
        <v>3.5</v>
      </c>
      <c r="E62" s="2">
        <f t="shared" si="9"/>
        <v>202.5</v>
      </c>
      <c r="F62" s="146" t="s">
        <v>569</v>
      </c>
      <c r="G62" s="68" t="s">
        <v>16</v>
      </c>
      <c r="H62" s="69" t="s">
        <v>16</v>
      </c>
      <c r="I62" s="2" t="s">
        <v>16</v>
      </c>
      <c r="J62" s="2" t="s">
        <v>16</v>
      </c>
      <c r="K62" s="41" t="s">
        <v>16</v>
      </c>
      <c r="L62" s="52">
        <f>AVERAGE(69,54,70)</f>
        <v>64.333333333333329</v>
      </c>
      <c r="M62" s="43" t="s">
        <v>1010</v>
      </c>
      <c r="N62" s="2">
        <f>AVERAGE(135,119,130,123,99,97,97,116)</f>
        <v>114.5</v>
      </c>
      <c r="O62" s="2" t="s">
        <v>1033</v>
      </c>
      <c r="P62" s="52" t="s">
        <v>16</v>
      </c>
      <c r="Q62" s="27" t="s">
        <v>16</v>
      </c>
      <c r="R62" s="43" t="s">
        <v>16</v>
      </c>
      <c r="S62" s="147" t="s">
        <v>16</v>
      </c>
      <c r="T62" s="27" t="s">
        <v>16</v>
      </c>
      <c r="U62" s="41" t="s">
        <v>16</v>
      </c>
    </row>
    <row r="63" spans="1:21" ht="12.6" customHeight="1">
      <c r="A63" s="97" t="s">
        <v>769</v>
      </c>
      <c r="B63" s="98" t="s">
        <v>16</v>
      </c>
      <c r="C63" s="34" t="s">
        <v>16</v>
      </c>
      <c r="D63" s="99" t="s">
        <v>16</v>
      </c>
      <c r="E63" s="34" t="s">
        <v>16</v>
      </c>
      <c r="F63" s="100" t="s">
        <v>16</v>
      </c>
      <c r="G63" s="101" t="s">
        <v>16</v>
      </c>
      <c r="H63" s="102" t="s">
        <v>16</v>
      </c>
      <c r="I63" s="34" t="s">
        <v>16</v>
      </c>
      <c r="J63" s="34" t="s">
        <v>16</v>
      </c>
      <c r="K63" s="34" t="s">
        <v>16</v>
      </c>
      <c r="L63" s="34" t="s">
        <v>16</v>
      </c>
      <c r="M63" s="34" t="s">
        <v>16</v>
      </c>
      <c r="N63" s="34" t="s">
        <v>16</v>
      </c>
      <c r="O63" s="34" t="s">
        <v>16</v>
      </c>
      <c r="P63" s="34" t="s">
        <v>16</v>
      </c>
      <c r="Q63" s="34" t="s">
        <v>16</v>
      </c>
      <c r="R63" s="34" t="s">
        <v>16</v>
      </c>
      <c r="S63" s="34" t="s">
        <v>16</v>
      </c>
      <c r="T63" s="34" t="s">
        <v>16</v>
      </c>
      <c r="U63" s="34" t="s">
        <v>16</v>
      </c>
    </row>
    <row r="64" spans="1:21" ht="12.6" customHeight="1">
      <c r="A64" s="48" t="s">
        <v>27</v>
      </c>
      <c r="B64" s="48" t="s">
        <v>616</v>
      </c>
      <c r="C64" s="27">
        <v>50</v>
      </c>
      <c r="D64" s="64" t="s">
        <v>617</v>
      </c>
      <c r="E64" s="43">
        <f>C64*1.5</f>
        <v>75</v>
      </c>
      <c r="F64" s="152" t="s">
        <v>618</v>
      </c>
      <c r="G64" s="50" t="s">
        <v>16</v>
      </c>
      <c r="H64" s="31" t="s">
        <v>16</v>
      </c>
      <c r="I64" s="27" t="s">
        <v>16</v>
      </c>
      <c r="J64" s="27" t="s">
        <v>16</v>
      </c>
      <c r="K64" s="43" t="s">
        <v>16</v>
      </c>
      <c r="L64" s="46">
        <f>AVERAGE(3860)</f>
        <v>3860</v>
      </c>
      <c r="M64" s="43" t="s">
        <v>686</v>
      </c>
      <c r="N64" s="27">
        <v>4300</v>
      </c>
      <c r="O64" s="27" t="s">
        <v>631</v>
      </c>
      <c r="P64" s="52" t="s">
        <v>16</v>
      </c>
      <c r="Q64" s="27" t="s">
        <v>16</v>
      </c>
      <c r="R64" s="43" t="s">
        <v>16</v>
      </c>
      <c r="S64" s="52" t="s">
        <v>16</v>
      </c>
      <c r="T64" s="27" t="s">
        <v>16</v>
      </c>
      <c r="U64" s="43" t="s">
        <v>16</v>
      </c>
    </row>
    <row r="65" spans="1:22" ht="12.6" customHeight="1">
      <c r="C65" s="11" t="s">
        <v>16</v>
      </c>
      <c r="D65" s="56" t="s">
        <v>16</v>
      </c>
      <c r="E65" s="11" t="s">
        <v>16</v>
      </c>
      <c r="F65" s="12" t="s">
        <v>16</v>
      </c>
      <c r="G65" s="25" t="s">
        <v>16</v>
      </c>
      <c r="H65" s="26" t="s">
        <v>16</v>
      </c>
      <c r="I65" s="11" t="s">
        <v>16</v>
      </c>
      <c r="J65" s="11" t="s">
        <v>16</v>
      </c>
      <c r="K65" s="11" t="s">
        <v>16</v>
      </c>
      <c r="L65" s="11" t="s">
        <v>16</v>
      </c>
      <c r="M65" s="11" t="s">
        <v>16</v>
      </c>
      <c r="N65" s="11" t="s">
        <v>16</v>
      </c>
      <c r="O65" s="11" t="s">
        <v>16</v>
      </c>
      <c r="P65" s="11" t="s">
        <v>16</v>
      </c>
      <c r="Q65" s="11" t="s">
        <v>16</v>
      </c>
      <c r="R65" s="11" t="s">
        <v>16</v>
      </c>
      <c r="S65" s="11" t="s">
        <v>16</v>
      </c>
      <c r="T65" s="11" t="s">
        <v>16</v>
      </c>
      <c r="U65" s="11" t="s">
        <v>16</v>
      </c>
    </row>
    <row r="70" spans="1:22" ht="12.6" customHeight="1">
      <c r="A70" s="5"/>
      <c r="B70" s="5"/>
      <c r="C70" s="5"/>
      <c r="D70" s="5"/>
      <c r="E70" s="5"/>
      <c r="F70" s="5"/>
      <c r="G70" s="5"/>
      <c r="H70" s="5"/>
      <c r="I70" s="5"/>
      <c r="J70" s="5"/>
      <c r="K70" s="5"/>
      <c r="L70" s="5"/>
      <c r="M70" s="5"/>
      <c r="N70" s="5"/>
      <c r="O70" s="5"/>
      <c r="P70" s="5"/>
      <c r="Q70" s="5"/>
      <c r="R70" s="5"/>
      <c r="S70" s="5"/>
      <c r="T70" s="5"/>
      <c r="U70" s="5"/>
      <c r="V70" s="5"/>
    </row>
    <row r="72" spans="1:22" ht="12.6" customHeight="1">
      <c r="A72" s="5"/>
      <c r="B72" s="5"/>
      <c r="C72" s="5"/>
      <c r="D72" s="5"/>
      <c r="E72" s="5"/>
      <c r="F72" s="5"/>
      <c r="G72" s="5"/>
      <c r="H72" s="5"/>
      <c r="I72" s="5"/>
      <c r="J72" s="5"/>
      <c r="K72" s="5"/>
      <c r="L72" s="5"/>
      <c r="M72" s="5"/>
      <c r="N72" s="5"/>
      <c r="O72" s="5"/>
      <c r="P72" s="5"/>
      <c r="Q72" s="5"/>
      <c r="R72" s="5"/>
      <c r="S72" s="5"/>
      <c r="T72" s="5"/>
      <c r="U72" s="5"/>
      <c r="V72" s="5"/>
    </row>
    <row r="73" spans="1:22" ht="12.6" customHeight="1">
      <c r="A73" s="5"/>
      <c r="B73" s="5"/>
      <c r="C73" s="5"/>
      <c r="D73" s="5"/>
      <c r="E73" s="5"/>
      <c r="F73" s="5"/>
      <c r="G73" s="5"/>
      <c r="H73" s="5"/>
      <c r="I73" s="5"/>
      <c r="J73" s="5"/>
      <c r="K73" s="5"/>
      <c r="L73" s="5"/>
      <c r="M73" s="5"/>
      <c r="N73" s="5"/>
      <c r="O73" s="5"/>
      <c r="P73" s="5"/>
      <c r="Q73" s="5"/>
      <c r="R73" s="5"/>
      <c r="S73" s="5"/>
      <c r="T73" s="5"/>
      <c r="U73" s="5"/>
      <c r="V73" s="5"/>
    </row>
    <row r="74" spans="1:22" ht="12.6" customHeight="1">
      <c r="A74" s="5"/>
      <c r="B74" s="5"/>
      <c r="C74" s="5"/>
      <c r="D74" s="5"/>
      <c r="E74" s="5"/>
      <c r="F74" s="5"/>
      <c r="G74" s="5"/>
      <c r="H74" s="5"/>
      <c r="I74" s="5"/>
      <c r="J74" s="5"/>
      <c r="K74" s="5"/>
      <c r="L74" s="5"/>
      <c r="M74" s="5"/>
      <c r="N74" s="5"/>
      <c r="O74" s="5"/>
      <c r="P74" s="5"/>
      <c r="Q74" s="5"/>
      <c r="R74" s="5"/>
      <c r="S74" s="5"/>
      <c r="T74" s="5"/>
      <c r="U74" s="5"/>
      <c r="V74" s="5"/>
    </row>
  </sheetData>
  <sheetProtection password="990B" sheet="1" objects="1" scenarios="1"/>
  <phoneticPr fontId="0" type="noConversion"/>
  <conditionalFormatting sqref="Q6 T35 T50 M1:M6 O1:O6 O20 M20 Q20:Q21 Q35:Q42 T41:T48 O35:O50 Q44:Q50 M35:M50 Q23 M63:M1048576 Q63:Q64 O63:O1048576 T63:T64 M53:M54 Q53:Q54 O53:O54 T53:T54">
    <cfRule type="cellIs" dxfId="101" priority="150" stopIfTrue="1" operator="lessThan">
      <formula>".08-09"</formula>
    </cfRule>
  </conditionalFormatting>
  <conditionalFormatting sqref="T6">
    <cfRule type="cellIs" dxfId="100" priority="149" stopIfTrue="1" operator="lessThan">
      <formula>".08-09"</formula>
    </cfRule>
  </conditionalFormatting>
  <conditionalFormatting sqref="T20:T21">
    <cfRule type="cellIs" dxfId="99" priority="144" stopIfTrue="1" operator="lessThan">
      <formula>".08-09"</formula>
    </cfRule>
  </conditionalFormatting>
  <conditionalFormatting sqref="T38:T39">
    <cfRule type="cellIs" dxfId="98" priority="143" stopIfTrue="1" operator="lessThan">
      <formula>".08-09"</formula>
    </cfRule>
  </conditionalFormatting>
  <conditionalFormatting sqref="T36">
    <cfRule type="cellIs" dxfId="97" priority="142" stopIfTrue="1" operator="lessThan">
      <formula>".08-09"</formula>
    </cfRule>
  </conditionalFormatting>
  <conditionalFormatting sqref="T37">
    <cfRule type="cellIs" dxfId="96" priority="141" stopIfTrue="1" operator="lessThan">
      <formula>".08-09"</formula>
    </cfRule>
  </conditionalFormatting>
  <conditionalFormatting sqref="T40">
    <cfRule type="cellIs" dxfId="95" priority="140" stopIfTrue="1" operator="lessThan">
      <formula>".08-09"</formula>
    </cfRule>
  </conditionalFormatting>
  <conditionalFormatting sqref="T49">
    <cfRule type="cellIs" dxfId="94" priority="139" stopIfTrue="1" operator="lessThan">
      <formula>".08-09"</formula>
    </cfRule>
  </conditionalFormatting>
  <conditionalFormatting sqref="T27 O27 M27 Q27">
    <cfRule type="cellIs" dxfId="93" priority="138" stopIfTrue="1" operator="lessThan">
      <formula>".08-09"</formula>
    </cfRule>
  </conditionalFormatting>
  <conditionalFormatting sqref="O28 M28 Q28">
    <cfRule type="cellIs" dxfId="92" priority="134" stopIfTrue="1" operator="lessThan">
      <formula>".08-09"</formula>
    </cfRule>
  </conditionalFormatting>
  <conditionalFormatting sqref="T28">
    <cfRule type="cellIs" dxfId="91" priority="133" stopIfTrue="1" operator="lessThan">
      <formula>".08-09"</formula>
    </cfRule>
  </conditionalFormatting>
  <conditionalFormatting sqref="Q24 M24 O24">
    <cfRule type="cellIs" dxfId="90" priority="131" stopIfTrue="1" operator="lessThan">
      <formula>".08-09"</formula>
    </cfRule>
  </conditionalFormatting>
  <conditionalFormatting sqref="T24">
    <cfRule type="cellIs" dxfId="89" priority="130" stopIfTrue="1" operator="lessThan">
      <formula>".08-09"</formula>
    </cfRule>
  </conditionalFormatting>
  <conditionalFormatting sqref="Q9 M9 O9">
    <cfRule type="cellIs" dxfId="88" priority="120" stopIfTrue="1" operator="lessThan">
      <formula>".08-09"</formula>
    </cfRule>
  </conditionalFormatting>
  <conditionalFormatting sqref="T9">
    <cfRule type="cellIs" dxfId="87" priority="119" stopIfTrue="1" operator="lessThan">
      <formula>".08-09"</formula>
    </cfRule>
  </conditionalFormatting>
  <conditionalFormatting sqref="Q17 M17 O17">
    <cfRule type="cellIs" dxfId="86" priority="112" stopIfTrue="1" operator="lessThan">
      <formula>".08-09"</formula>
    </cfRule>
  </conditionalFormatting>
  <conditionalFormatting sqref="T17">
    <cfRule type="cellIs" dxfId="85" priority="111" stopIfTrue="1" operator="lessThan">
      <formula>".08-09"</formula>
    </cfRule>
  </conditionalFormatting>
  <conditionalFormatting sqref="Q19 M19 O19">
    <cfRule type="cellIs" dxfId="84" priority="110" stopIfTrue="1" operator="lessThan">
      <formula>".08-09"</formula>
    </cfRule>
  </conditionalFormatting>
  <conditionalFormatting sqref="T19">
    <cfRule type="cellIs" dxfId="83" priority="109" stopIfTrue="1" operator="lessThan">
      <formula>".08-09"</formula>
    </cfRule>
  </conditionalFormatting>
  <conditionalFormatting sqref="Q14 M14 O14">
    <cfRule type="cellIs" dxfId="82" priority="106" stopIfTrue="1" operator="lessThan">
      <formula>".08-09"</formula>
    </cfRule>
  </conditionalFormatting>
  <conditionalFormatting sqref="T14">
    <cfRule type="cellIs" dxfId="81" priority="105" stopIfTrue="1" operator="lessThan">
      <formula>".08-09"</formula>
    </cfRule>
  </conditionalFormatting>
  <conditionalFormatting sqref="Q29 M29 O29">
    <cfRule type="cellIs" dxfId="80" priority="104" stopIfTrue="1" operator="lessThan">
      <formula>".08-09"</formula>
    </cfRule>
  </conditionalFormatting>
  <conditionalFormatting sqref="T29">
    <cfRule type="cellIs" dxfId="79" priority="103" stopIfTrue="1" operator="lessThan">
      <formula>".08-09"</formula>
    </cfRule>
  </conditionalFormatting>
  <conditionalFormatting sqref="M21 O21">
    <cfRule type="cellIs" dxfId="78" priority="101" stopIfTrue="1" operator="lessThan">
      <formula>".08-09"</formula>
    </cfRule>
  </conditionalFormatting>
  <conditionalFormatting sqref="M23 O23">
    <cfRule type="cellIs" dxfId="77" priority="100" stopIfTrue="1" operator="lessThan">
      <formula>".08-09"</formula>
    </cfRule>
  </conditionalFormatting>
  <conditionalFormatting sqref="Q25">
    <cfRule type="cellIs" dxfId="76" priority="96" stopIfTrue="1" operator="lessThan">
      <formula>".08-09"</formula>
    </cfRule>
  </conditionalFormatting>
  <conditionalFormatting sqref="T25">
    <cfRule type="cellIs" dxfId="75" priority="95" stopIfTrue="1" operator="lessThan">
      <formula>".08-09"</formula>
    </cfRule>
  </conditionalFormatting>
  <conditionalFormatting sqref="Q26">
    <cfRule type="cellIs" dxfId="74" priority="94" stopIfTrue="1" operator="lessThan">
      <formula>".08-09"</formula>
    </cfRule>
  </conditionalFormatting>
  <conditionalFormatting sqref="T26">
    <cfRule type="cellIs" dxfId="73" priority="93" stopIfTrue="1" operator="lessThan">
      <formula>".08-09"</formula>
    </cfRule>
  </conditionalFormatting>
  <conditionalFormatting sqref="M25 O25">
    <cfRule type="cellIs" dxfId="72" priority="92" stopIfTrue="1" operator="lessThan">
      <formula>".08-09"</formula>
    </cfRule>
  </conditionalFormatting>
  <conditionalFormatting sqref="M26">
    <cfRule type="cellIs" dxfId="71" priority="91" stopIfTrue="1" operator="lessThan">
      <formula>".08-09"</formula>
    </cfRule>
  </conditionalFormatting>
  <conditionalFormatting sqref="O26">
    <cfRule type="cellIs" dxfId="70" priority="90" stopIfTrue="1" operator="lessThan">
      <formula>".08-09"</formula>
    </cfRule>
  </conditionalFormatting>
  <conditionalFormatting sqref="T31 O31 M31 Q31">
    <cfRule type="cellIs" dxfId="69" priority="89" stopIfTrue="1" operator="lessThan">
      <formula>".08-09"</formula>
    </cfRule>
  </conditionalFormatting>
  <conditionalFormatting sqref="O32 Q32">
    <cfRule type="cellIs" dxfId="68" priority="84" stopIfTrue="1" operator="lessThan">
      <formula>".08-09"</formula>
    </cfRule>
  </conditionalFormatting>
  <conditionalFormatting sqref="T32">
    <cfRule type="cellIs" dxfId="67" priority="80" stopIfTrue="1" operator="lessThan">
      <formula>".08-09"</formula>
    </cfRule>
  </conditionalFormatting>
  <conditionalFormatting sqref="Q15 M15 O15">
    <cfRule type="cellIs" dxfId="66" priority="75" stopIfTrue="1" operator="lessThan">
      <formula>".08-09"</formula>
    </cfRule>
  </conditionalFormatting>
  <conditionalFormatting sqref="T15">
    <cfRule type="cellIs" dxfId="65" priority="74" stopIfTrue="1" operator="lessThan">
      <formula>".08-09"</formula>
    </cfRule>
  </conditionalFormatting>
  <conditionalFormatting sqref="O15 M15 Q15">
    <cfRule type="cellIs" dxfId="64" priority="77" stopIfTrue="1" operator="lessThan">
      <formula>".08-09"</formula>
    </cfRule>
  </conditionalFormatting>
  <conditionalFormatting sqref="T15">
    <cfRule type="cellIs" dxfId="63" priority="76" stopIfTrue="1" operator="lessThan">
      <formula>".08-09"</formula>
    </cfRule>
  </conditionalFormatting>
  <conditionalFormatting sqref="Q18 M18 O18">
    <cfRule type="cellIs" dxfId="62" priority="68" stopIfTrue="1" operator="lessThan">
      <formula>".08-09"</formula>
    </cfRule>
  </conditionalFormatting>
  <conditionalFormatting sqref="T18">
    <cfRule type="cellIs" dxfId="61" priority="67" stopIfTrue="1" operator="lessThan">
      <formula>".08-09"</formula>
    </cfRule>
  </conditionalFormatting>
  <conditionalFormatting sqref="Q22">
    <cfRule type="cellIs" dxfId="60" priority="66" stopIfTrue="1" operator="lessThan">
      <formula>".08-09"</formula>
    </cfRule>
  </conditionalFormatting>
  <conditionalFormatting sqref="T22">
    <cfRule type="cellIs" dxfId="59" priority="65" stopIfTrue="1" operator="lessThan">
      <formula>".08-09"</formula>
    </cfRule>
  </conditionalFormatting>
  <conditionalFormatting sqref="M22 O22">
    <cfRule type="cellIs" dxfId="58" priority="64" stopIfTrue="1" operator="lessThan">
      <formula>".08-09"</formula>
    </cfRule>
  </conditionalFormatting>
  <conditionalFormatting sqref="Q16">
    <cfRule type="cellIs" dxfId="57" priority="63" stopIfTrue="1" operator="lessThan">
      <formula>".08-09"</formula>
    </cfRule>
  </conditionalFormatting>
  <conditionalFormatting sqref="T16">
    <cfRule type="cellIs" dxfId="56" priority="62" stopIfTrue="1" operator="lessThan">
      <formula>".08-09"</formula>
    </cfRule>
  </conditionalFormatting>
  <conditionalFormatting sqref="M16 O16">
    <cfRule type="cellIs" dxfId="55" priority="61" stopIfTrue="1" operator="lessThan">
      <formula>".08-09"</formula>
    </cfRule>
  </conditionalFormatting>
  <conditionalFormatting sqref="Q7">
    <cfRule type="cellIs" dxfId="54" priority="60" stopIfTrue="1" operator="lessThan">
      <formula>".08-09"</formula>
    </cfRule>
  </conditionalFormatting>
  <conditionalFormatting sqref="T7">
    <cfRule type="cellIs" dxfId="53" priority="59" stopIfTrue="1" operator="lessThan">
      <formula>".08-09"</formula>
    </cfRule>
  </conditionalFormatting>
  <conditionalFormatting sqref="M7 O7">
    <cfRule type="cellIs" dxfId="52" priority="58" stopIfTrue="1" operator="lessThan">
      <formula>".08-09"</formula>
    </cfRule>
  </conditionalFormatting>
  <conditionalFormatting sqref="T23">
    <cfRule type="cellIs" dxfId="51" priority="57" stopIfTrue="1" operator="lessThan">
      <formula>".08-09"</formula>
    </cfRule>
  </conditionalFormatting>
  <conditionalFormatting sqref="Q13 M13 O13">
    <cfRule type="cellIs" dxfId="50" priority="56" stopIfTrue="1" operator="lessThan">
      <formula>".08-09"</formula>
    </cfRule>
  </conditionalFormatting>
  <conditionalFormatting sqref="T13">
    <cfRule type="cellIs" dxfId="49" priority="55" stopIfTrue="1" operator="lessThan">
      <formula>".08-09"</formula>
    </cfRule>
  </conditionalFormatting>
  <conditionalFormatting sqref="M32">
    <cfRule type="cellIs" dxfId="48" priority="53" stopIfTrue="1" operator="lessThan">
      <formula>".08-09"</formula>
    </cfRule>
  </conditionalFormatting>
  <conditionalFormatting sqref="Q30 M30 O30">
    <cfRule type="cellIs" dxfId="47" priority="52" stopIfTrue="1" operator="lessThan">
      <formula>".08-09"</formula>
    </cfRule>
  </conditionalFormatting>
  <conditionalFormatting sqref="T30">
    <cfRule type="cellIs" dxfId="46" priority="51" stopIfTrue="1" operator="lessThan">
      <formula>".08-09"</formula>
    </cfRule>
  </conditionalFormatting>
  <conditionalFormatting sqref="T55 O55 Q55 M55">
    <cfRule type="cellIs" dxfId="45" priority="49" stopIfTrue="1" operator="lessThan">
      <formula>".08-09"</formula>
    </cfRule>
  </conditionalFormatting>
  <conditionalFormatting sqref="T57 O57 Q57 M57">
    <cfRule type="cellIs" dxfId="44" priority="43" stopIfTrue="1" operator="lessThan">
      <formula>".08-09"</formula>
    </cfRule>
  </conditionalFormatting>
  <conditionalFormatting sqref="T58 O58 Q58 M58">
    <cfRule type="cellIs" dxfId="43" priority="38" stopIfTrue="1" operator="lessThan">
      <formula>".08-09"</formula>
    </cfRule>
  </conditionalFormatting>
  <conditionalFormatting sqref="T59 O59 Q59 M59">
    <cfRule type="cellIs" dxfId="42" priority="33" stopIfTrue="1" operator="lessThan">
      <formula>".08-09"</formula>
    </cfRule>
  </conditionalFormatting>
  <conditionalFormatting sqref="T60 O60 Q60 M60">
    <cfRule type="cellIs" dxfId="41" priority="30" stopIfTrue="1" operator="lessThan">
      <formula>".08-09"</formula>
    </cfRule>
  </conditionalFormatting>
  <conditionalFormatting sqref="Q52 T52">
    <cfRule type="cellIs" dxfId="40" priority="28" stopIfTrue="1" operator="lessThan">
      <formula>".08-09"</formula>
    </cfRule>
  </conditionalFormatting>
  <conditionalFormatting sqref="M51 Q51 O51 T51">
    <cfRule type="cellIs" dxfId="39" priority="27" stopIfTrue="1" operator="lessThan">
      <formula>".08-09"</formula>
    </cfRule>
  </conditionalFormatting>
  <conditionalFormatting sqref="Q56 M56 O56">
    <cfRule type="cellIs" dxfId="38" priority="26" stopIfTrue="1" operator="lessThan">
      <formula>".08-09"</formula>
    </cfRule>
  </conditionalFormatting>
  <conditionalFormatting sqref="T56">
    <cfRule type="cellIs" dxfId="37" priority="25" stopIfTrue="1" operator="lessThan">
      <formula>".08-09"</formula>
    </cfRule>
  </conditionalFormatting>
  <conditionalFormatting sqref="O61 Q61:Q62 M61">
    <cfRule type="cellIs" dxfId="36" priority="22" stopIfTrue="1" operator="lessThan">
      <formula>".08-09"</formula>
    </cfRule>
  </conditionalFormatting>
  <conditionalFormatting sqref="T61">
    <cfRule type="cellIs" dxfId="35" priority="21" stopIfTrue="1" operator="lessThan">
      <formula>".08-09"</formula>
    </cfRule>
  </conditionalFormatting>
  <conditionalFormatting sqref="T62">
    <cfRule type="cellIs" dxfId="34" priority="20" stopIfTrue="1" operator="lessThan">
      <formula>".08-09"</formula>
    </cfRule>
  </conditionalFormatting>
  <conditionalFormatting sqref="M62">
    <cfRule type="cellIs" dxfId="33" priority="19" stopIfTrue="1" operator="lessThan">
      <formula>".08-09"</formula>
    </cfRule>
  </conditionalFormatting>
  <conditionalFormatting sqref="O52">
    <cfRule type="cellIs" dxfId="32" priority="18" stopIfTrue="1" operator="lessThan">
      <formula>".08-09"</formula>
    </cfRule>
  </conditionalFormatting>
  <conditionalFormatting sqref="M52">
    <cfRule type="cellIs" dxfId="31" priority="17" stopIfTrue="1" operator="lessThan">
      <formula>".08-09"</formula>
    </cfRule>
  </conditionalFormatting>
  <conditionalFormatting sqref="O62">
    <cfRule type="cellIs" dxfId="30" priority="16" stopIfTrue="1" operator="lessThan">
      <formula>".08-09"</formula>
    </cfRule>
  </conditionalFormatting>
  <conditionalFormatting sqref="Q10 M10 O10">
    <cfRule type="cellIs" dxfId="29" priority="13" stopIfTrue="1" operator="lessThan">
      <formula>".08-09"</formula>
    </cfRule>
  </conditionalFormatting>
  <conditionalFormatting sqref="T10">
    <cfRule type="cellIs" dxfId="28" priority="12" stopIfTrue="1" operator="lessThan">
      <formula>".08-09"</formula>
    </cfRule>
  </conditionalFormatting>
  <conditionalFormatting sqref="Q11 M11 O11">
    <cfRule type="cellIs" dxfId="27" priority="11" stopIfTrue="1" operator="lessThan">
      <formula>".08-09"</formula>
    </cfRule>
  </conditionalFormatting>
  <conditionalFormatting sqref="T11">
    <cfRule type="cellIs" dxfId="26" priority="10" stopIfTrue="1" operator="lessThan">
      <formula>".08-09"</formula>
    </cfRule>
  </conditionalFormatting>
  <conditionalFormatting sqref="Q12 M12 O12">
    <cfRule type="cellIs" dxfId="25" priority="9" stopIfTrue="1" operator="lessThan">
      <formula>".08-09"</formula>
    </cfRule>
  </conditionalFormatting>
  <conditionalFormatting sqref="T12">
    <cfRule type="cellIs" dxfId="24" priority="8" stopIfTrue="1" operator="lessThan">
      <formula>".08-09"</formula>
    </cfRule>
  </conditionalFormatting>
  <conditionalFormatting sqref="Q8">
    <cfRule type="cellIs" dxfId="23" priority="7" stopIfTrue="1" operator="lessThan">
      <formula>".08-09"</formula>
    </cfRule>
  </conditionalFormatting>
  <conditionalFormatting sqref="T8">
    <cfRule type="cellIs" dxfId="22" priority="6" stopIfTrue="1" operator="lessThan">
      <formula>".08-09"</formula>
    </cfRule>
  </conditionalFormatting>
  <conditionalFormatting sqref="M8 O8">
    <cfRule type="cellIs" dxfId="21" priority="5" stopIfTrue="1" operator="lessThan">
      <formula>".08-09"</formula>
    </cfRule>
  </conditionalFormatting>
  <conditionalFormatting sqref="Q33 M33 O33">
    <cfRule type="cellIs" dxfId="20" priority="4" stopIfTrue="1" operator="lessThan">
      <formula>".08-09"</formula>
    </cfRule>
  </conditionalFormatting>
  <conditionalFormatting sqref="T33">
    <cfRule type="cellIs" dxfId="19" priority="3" stopIfTrue="1" operator="lessThan">
      <formula>".08-09"</formula>
    </cfRule>
  </conditionalFormatting>
  <conditionalFormatting sqref="Q34 M34 O34">
    <cfRule type="cellIs" dxfId="18" priority="2" stopIfTrue="1" operator="lessThan">
      <formula>".08-09"</formula>
    </cfRule>
  </conditionalFormatting>
  <conditionalFormatting sqref="T34">
    <cfRule type="cellIs" dxfId="17"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1" manualBreakCount="1">
    <brk id="30" max="16383" man="1"/>
  </rowBreaks>
  <ignoredErrors>
    <ignoredError sqref="C17"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33"/>
  <sheetViews>
    <sheetView view="pageLayout" zoomScaleNormal="100" workbookViewId="0"/>
  </sheetViews>
  <sheetFormatPr defaultRowHeight="12.6" customHeight="1"/>
  <cols>
    <col min="1" max="1" width="6.85546875" style="18" customWidth="1"/>
    <col min="2" max="2" width="18" style="24" customWidth="1"/>
    <col min="3" max="3" width="6.28515625" style="19" customWidth="1"/>
    <col min="4" max="4" width="6.5703125" style="23" customWidth="1"/>
    <col min="5" max="5" width="6.5703125" style="22" customWidth="1"/>
    <col min="6" max="6" width="4.7109375" style="23" customWidth="1"/>
    <col min="7" max="10" width="4.7109375" style="19" customWidth="1"/>
    <col min="11" max="11" width="4.7109375" style="21" customWidth="1"/>
    <col min="12" max="12" width="6.140625" style="19" customWidth="1"/>
    <col min="13" max="13" width="4.85546875" style="21" customWidth="1"/>
    <col min="14" max="14" width="5.28515625" style="19" customWidth="1"/>
    <col min="15" max="15" width="5" style="21" customWidth="1"/>
    <col min="16" max="16" width="5.28515625" style="21" customWidth="1"/>
    <col min="17" max="17" width="4.7109375" style="20" customWidth="1"/>
    <col min="18" max="19" width="5.28515625" style="21" customWidth="1"/>
    <col min="20" max="20" width="4.28515625" style="21" customWidth="1"/>
    <col min="21" max="21" width="6.28515625" style="21" customWidth="1"/>
    <col min="22" max="22" width="1.140625" style="18" customWidth="1"/>
    <col min="23" max="23" width="5.28515625" style="21" customWidth="1"/>
    <col min="24" max="24" width="5.140625" style="21" customWidth="1"/>
    <col min="25" max="25" width="1.85546875" style="21" customWidth="1"/>
    <col min="26" max="27" width="5.85546875" style="21" customWidth="1"/>
    <col min="28" max="16384" width="9.140625" style="18"/>
  </cols>
  <sheetData>
    <row r="1" spans="1:27" s="5" customFormat="1" ht="15" customHeight="1">
      <c r="A1" s="14" t="s">
        <v>179</v>
      </c>
      <c r="B1" s="6"/>
      <c r="C1" s="7" t="s">
        <v>16</v>
      </c>
      <c r="D1" s="8" t="s">
        <v>16</v>
      </c>
      <c r="E1" s="7" t="s">
        <v>16</v>
      </c>
      <c r="F1" s="15" t="s">
        <v>16</v>
      </c>
      <c r="G1" s="9" t="s">
        <v>16</v>
      </c>
      <c r="H1" s="10" t="s">
        <v>16</v>
      </c>
      <c r="I1" s="11" t="s">
        <v>16</v>
      </c>
      <c r="J1" s="6" t="s">
        <v>16</v>
      </c>
      <c r="K1" s="11" t="s">
        <v>16</v>
      </c>
      <c r="L1" s="11" t="s">
        <v>16</v>
      </c>
      <c r="M1" s="12" t="s">
        <v>16</v>
      </c>
      <c r="N1" s="11" t="s">
        <v>16</v>
      </c>
      <c r="O1" s="12" t="s">
        <v>16</v>
      </c>
      <c r="P1" s="2" t="s">
        <v>16</v>
      </c>
      <c r="Q1" s="2" t="s">
        <v>16</v>
      </c>
      <c r="R1" s="13" t="s">
        <v>1046</v>
      </c>
      <c r="S1" s="13"/>
      <c r="T1" s="2" t="s">
        <v>16</v>
      </c>
      <c r="U1" s="13" t="s">
        <v>16</v>
      </c>
      <c r="V1" s="12" t="s">
        <v>16</v>
      </c>
      <c r="W1" s="3" t="s">
        <v>16</v>
      </c>
      <c r="X1" s="12" t="s">
        <v>16</v>
      </c>
      <c r="Y1" s="12"/>
      <c r="Z1" s="12"/>
      <c r="AA1" s="12"/>
    </row>
    <row r="2" spans="1:27" s="5" customFormat="1" ht="12.6" customHeight="1">
      <c r="A2" s="66" t="str">
        <f>i!A3</f>
        <v>v.30</v>
      </c>
      <c r="B2" s="37" t="s">
        <v>1071</v>
      </c>
      <c r="C2" s="7" t="s">
        <v>16</v>
      </c>
      <c r="D2" s="8" t="s">
        <v>16</v>
      </c>
      <c r="E2" s="7" t="s">
        <v>16</v>
      </c>
      <c r="F2" s="25" t="s">
        <v>16</v>
      </c>
      <c r="G2" s="26" t="s">
        <v>16</v>
      </c>
      <c r="H2" s="25" t="s">
        <v>16</v>
      </c>
      <c r="I2" s="11" t="s">
        <v>16</v>
      </c>
      <c r="J2" s="11" t="s">
        <v>16</v>
      </c>
      <c r="K2" s="11" t="s">
        <v>16</v>
      </c>
      <c r="L2" s="13" t="s">
        <v>16</v>
      </c>
      <c r="M2" s="13" t="s">
        <v>16</v>
      </c>
      <c r="N2" s="27" t="s">
        <v>16</v>
      </c>
      <c r="O2" s="27" t="s">
        <v>16</v>
      </c>
      <c r="P2" s="27" t="s">
        <v>16</v>
      </c>
      <c r="Q2" s="27" t="s">
        <v>16</v>
      </c>
      <c r="R2" s="13" t="s">
        <v>16</v>
      </c>
      <c r="S2" s="27" t="s">
        <v>16</v>
      </c>
      <c r="T2" s="27" t="s">
        <v>16</v>
      </c>
      <c r="U2" s="13" t="s">
        <v>16</v>
      </c>
      <c r="V2" s="12" t="s">
        <v>16</v>
      </c>
      <c r="W2" s="12" t="s">
        <v>16</v>
      </c>
      <c r="X2" s="12" t="s">
        <v>16</v>
      </c>
      <c r="Y2" s="12"/>
      <c r="Z2" s="12"/>
      <c r="AA2" s="12"/>
    </row>
    <row r="3" spans="1:27" s="15" customFormat="1" ht="12.6" customHeight="1">
      <c r="A3" s="15" t="s">
        <v>16</v>
      </c>
      <c r="B3" s="6" t="s">
        <v>16</v>
      </c>
      <c r="C3" s="28" t="s">
        <v>16</v>
      </c>
      <c r="D3" s="29" t="s">
        <v>16</v>
      </c>
      <c r="E3" s="28" t="s">
        <v>16</v>
      </c>
      <c r="F3" s="30" t="s">
        <v>16</v>
      </c>
      <c r="G3" s="31" t="s">
        <v>16</v>
      </c>
      <c r="H3" s="32" t="s">
        <v>16</v>
      </c>
      <c r="I3" s="27" t="s">
        <v>16</v>
      </c>
      <c r="J3" s="27" t="s">
        <v>16</v>
      </c>
      <c r="K3" s="27" t="s">
        <v>16</v>
      </c>
      <c r="L3" s="33" t="s">
        <v>16</v>
      </c>
      <c r="M3" s="34" t="s">
        <v>16</v>
      </c>
      <c r="N3" s="35" t="s">
        <v>17</v>
      </c>
      <c r="O3" s="34" t="s">
        <v>16</v>
      </c>
      <c r="P3" s="33" t="s">
        <v>16</v>
      </c>
      <c r="Q3" s="34" t="s">
        <v>16</v>
      </c>
      <c r="R3" s="35" t="s">
        <v>18</v>
      </c>
      <c r="S3" s="34"/>
      <c r="T3" s="34" t="s">
        <v>16</v>
      </c>
      <c r="U3" s="36" t="s">
        <v>16</v>
      </c>
      <c r="V3" s="4" t="s">
        <v>16</v>
      </c>
      <c r="W3" s="4" t="s">
        <v>16</v>
      </c>
      <c r="X3" s="4" t="s">
        <v>16</v>
      </c>
      <c r="Y3" s="4"/>
      <c r="Z3" s="4"/>
      <c r="AA3" s="4"/>
    </row>
    <row r="4" spans="1:27" s="17" customFormat="1" ht="12.6" customHeight="1">
      <c r="A4" s="15" t="s">
        <v>170</v>
      </c>
      <c r="B4" s="37"/>
      <c r="C4" s="2" t="s">
        <v>6</v>
      </c>
      <c r="D4" s="38" t="s">
        <v>11</v>
      </c>
      <c r="E4" s="2" t="s">
        <v>842</v>
      </c>
      <c r="F4" s="39" t="s">
        <v>13</v>
      </c>
      <c r="G4" s="40" t="s">
        <v>329</v>
      </c>
      <c r="H4" s="38" t="s">
        <v>7</v>
      </c>
      <c r="I4" s="2" t="s">
        <v>380</v>
      </c>
      <c r="J4" s="2" t="s">
        <v>381</v>
      </c>
      <c r="K4" s="41" t="s">
        <v>382</v>
      </c>
      <c r="L4" s="42" t="s">
        <v>576</v>
      </c>
      <c r="M4" s="43"/>
      <c r="N4" s="44" t="s">
        <v>19</v>
      </c>
      <c r="O4" s="27"/>
      <c r="P4" s="45"/>
      <c r="Q4" s="46" t="s">
        <v>577</v>
      </c>
      <c r="R4" s="43"/>
      <c r="S4" s="47"/>
      <c r="T4" s="46" t="s">
        <v>9</v>
      </c>
      <c r="U4" s="43"/>
      <c r="V4" s="3" t="s">
        <v>16</v>
      </c>
      <c r="W4" s="3" t="s">
        <v>929</v>
      </c>
      <c r="X4" s="3" t="s">
        <v>931</v>
      </c>
      <c r="Y4" s="3"/>
      <c r="Z4" s="3"/>
      <c r="AA4" s="3"/>
    </row>
    <row r="5" spans="1:27" s="17" customFormat="1" ht="12.6" customHeight="1">
      <c r="A5" s="48" t="s">
        <v>16</v>
      </c>
      <c r="B5" s="49" t="s">
        <v>16</v>
      </c>
      <c r="C5" s="27" t="s">
        <v>20</v>
      </c>
      <c r="D5" s="32" t="s">
        <v>16</v>
      </c>
      <c r="E5" s="27" t="s">
        <v>16</v>
      </c>
      <c r="F5" s="50" t="s">
        <v>16</v>
      </c>
      <c r="G5" s="51" t="s">
        <v>37</v>
      </c>
      <c r="H5" s="32" t="s">
        <v>21</v>
      </c>
      <c r="I5" s="27" t="s">
        <v>20</v>
      </c>
      <c r="J5" s="27" t="s">
        <v>20</v>
      </c>
      <c r="K5" s="43" t="s">
        <v>20</v>
      </c>
      <c r="L5" s="52" t="s">
        <v>22</v>
      </c>
      <c r="M5" s="43" t="s">
        <v>23</v>
      </c>
      <c r="N5" s="27" t="s">
        <v>22</v>
      </c>
      <c r="O5" s="43" t="s">
        <v>23</v>
      </c>
      <c r="P5" s="27" t="s">
        <v>22</v>
      </c>
      <c r="Q5" s="27" t="s">
        <v>23</v>
      </c>
      <c r="R5" s="53" t="s">
        <v>24</v>
      </c>
      <c r="S5" s="27" t="s">
        <v>22</v>
      </c>
      <c r="T5" s="27" t="s">
        <v>23</v>
      </c>
      <c r="U5" s="53" t="s">
        <v>24</v>
      </c>
      <c r="V5" s="3" t="s">
        <v>16</v>
      </c>
      <c r="W5" s="16" t="s">
        <v>930</v>
      </c>
      <c r="X5" s="3" t="s">
        <v>16</v>
      </c>
      <c r="Y5" s="3"/>
      <c r="Z5" s="3"/>
      <c r="AA5" s="3"/>
    </row>
    <row r="6" spans="1:27" s="5" customFormat="1" ht="12.6" hidden="1" customHeight="1">
      <c r="A6" s="5" t="s">
        <v>16</v>
      </c>
      <c r="B6" s="54" t="s">
        <v>16</v>
      </c>
      <c r="C6" s="11" t="s">
        <v>16</v>
      </c>
      <c r="D6" s="25" t="s">
        <v>16</v>
      </c>
      <c r="E6" s="11" t="s">
        <v>16</v>
      </c>
      <c r="F6" s="25" t="s">
        <v>16</v>
      </c>
      <c r="G6" s="26" t="s">
        <v>16</v>
      </c>
      <c r="H6" s="25" t="s">
        <v>16</v>
      </c>
      <c r="I6" s="11" t="s">
        <v>16</v>
      </c>
      <c r="J6" s="11" t="s">
        <v>16</v>
      </c>
      <c r="K6" s="11" t="s">
        <v>16</v>
      </c>
      <c r="L6" s="11" t="s">
        <v>16</v>
      </c>
      <c r="M6" s="12" t="s">
        <v>16</v>
      </c>
      <c r="N6" s="11" t="s">
        <v>16</v>
      </c>
      <c r="O6" s="12" t="s">
        <v>16</v>
      </c>
      <c r="P6" s="11" t="s">
        <v>16</v>
      </c>
      <c r="Q6" s="12" t="s">
        <v>16</v>
      </c>
      <c r="R6" s="12" t="s">
        <v>16</v>
      </c>
      <c r="S6" s="2" t="s">
        <v>16</v>
      </c>
      <c r="T6" s="12" t="s">
        <v>16</v>
      </c>
      <c r="U6" s="12" t="s">
        <v>16</v>
      </c>
      <c r="V6" s="12" t="s">
        <v>16</v>
      </c>
      <c r="W6" s="12" t="s">
        <v>16</v>
      </c>
      <c r="X6" s="12" t="s">
        <v>16</v>
      </c>
      <c r="Y6" s="12"/>
      <c r="Z6" s="12"/>
      <c r="AA6" s="12"/>
    </row>
    <row r="7" spans="1:27" s="5" customFormat="1" ht="12" hidden="1" customHeight="1">
      <c r="A7" s="55" t="s">
        <v>38</v>
      </c>
      <c r="B7" s="55" t="s">
        <v>707</v>
      </c>
      <c r="C7" s="11">
        <v>40</v>
      </c>
      <c r="D7" s="56">
        <v>2.8</v>
      </c>
      <c r="E7" s="41">
        <v>64</v>
      </c>
      <c r="F7" s="57" t="s">
        <v>39</v>
      </c>
      <c r="G7" s="25">
        <v>0.3</v>
      </c>
      <c r="H7" s="26">
        <v>0.13</v>
      </c>
      <c r="I7" s="11">
        <v>22.9</v>
      </c>
      <c r="J7" s="11">
        <v>68.599999999999994</v>
      </c>
      <c r="K7" s="41">
        <v>52</v>
      </c>
      <c r="L7" s="58">
        <v>115.30769230769231</v>
      </c>
      <c r="M7" s="59" t="s">
        <v>841</v>
      </c>
      <c r="N7" s="58">
        <v>140</v>
      </c>
      <c r="O7" s="59" t="s">
        <v>836</v>
      </c>
      <c r="P7" s="11" t="s">
        <v>16</v>
      </c>
      <c r="Q7" s="11" t="s">
        <v>16</v>
      </c>
      <c r="R7" s="11" t="s">
        <v>16</v>
      </c>
      <c r="S7" s="58">
        <v>140</v>
      </c>
      <c r="T7" s="2" t="s">
        <v>772</v>
      </c>
      <c r="U7" s="41" t="s">
        <v>583</v>
      </c>
      <c r="V7" s="11" t="s">
        <v>16</v>
      </c>
      <c r="W7" s="12" t="s">
        <v>16</v>
      </c>
      <c r="X7" s="12" t="s">
        <v>16</v>
      </c>
      <c r="Y7" s="12"/>
      <c r="Z7" s="12"/>
      <c r="AA7" s="12"/>
    </row>
    <row r="8" spans="1:27" s="5" customFormat="1" ht="12" hidden="1" customHeight="1">
      <c r="A8" s="55" t="s">
        <v>34</v>
      </c>
      <c r="B8" s="55" t="s">
        <v>147</v>
      </c>
      <c r="C8" s="11">
        <v>45</v>
      </c>
      <c r="D8" s="56">
        <v>2.8</v>
      </c>
      <c r="E8" s="41">
        <v>72</v>
      </c>
      <c r="F8" s="57" t="s">
        <v>206</v>
      </c>
      <c r="G8" s="25">
        <v>0.6</v>
      </c>
      <c r="H8" s="26">
        <v>0.09</v>
      </c>
      <c r="I8" s="11">
        <v>18</v>
      </c>
      <c r="J8" s="11">
        <v>58</v>
      </c>
      <c r="K8" s="41">
        <v>49</v>
      </c>
      <c r="L8" s="58">
        <v>193.36363636363637</v>
      </c>
      <c r="M8" s="59" t="s">
        <v>816</v>
      </c>
      <c r="N8" s="58">
        <v>261.25</v>
      </c>
      <c r="O8" s="59" t="s">
        <v>774</v>
      </c>
      <c r="P8" s="11">
        <v>200</v>
      </c>
      <c r="Q8" s="11" t="s">
        <v>836</v>
      </c>
      <c r="R8" s="11" t="s">
        <v>758</v>
      </c>
      <c r="S8" s="58">
        <v>340</v>
      </c>
      <c r="T8" s="2" t="s">
        <v>816</v>
      </c>
      <c r="U8" s="41" t="s">
        <v>33</v>
      </c>
      <c r="V8" s="11" t="s">
        <v>16</v>
      </c>
      <c r="W8" s="12" t="s">
        <v>16</v>
      </c>
      <c r="X8" s="12" t="s">
        <v>16</v>
      </c>
      <c r="Y8" s="12"/>
      <c r="Z8" s="12"/>
      <c r="AA8" s="12"/>
    </row>
    <row r="9" spans="1:27" s="5" customFormat="1" ht="12" hidden="1" customHeight="1">
      <c r="A9" s="60" t="s">
        <v>164</v>
      </c>
      <c r="B9" s="60" t="s">
        <v>349</v>
      </c>
      <c r="C9" s="27">
        <v>40</v>
      </c>
      <c r="D9" s="61">
        <v>2</v>
      </c>
      <c r="E9" s="43">
        <v>64</v>
      </c>
      <c r="F9" s="62" t="s">
        <v>741</v>
      </c>
      <c r="G9" s="32">
        <v>0.38</v>
      </c>
      <c r="H9" s="31">
        <v>0.2</v>
      </c>
      <c r="I9" s="27">
        <v>23</v>
      </c>
      <c r="J9" s="27">
        <v>63.5</v>
      </c>
      <c r="K9" s="43">
        <v>52</v>
      </c>
      <c r="L9" s="52">
        <v>343.41666666666669</v>
      </c>
      <c r="M9" s="63" t="s">
        <v>836</v>
      </c>
      <c r="N9" s="52">
        <v>502.16666666666669</v>
      </c>
      <c r="O9" s="63" t="s">
        <v>686</v>
      </c>
      <c r="P9" s="27">
        <v>380</v>
      </c>
      <c r="Q9" s="27" t="s">
        <v>816</v>
      </c>
      <c r="R9" s="27" t="s">
        <v>30</v>
      </c>
      <c r="S9" s="52">
        <v>435</v>
      </c>
      <c r="T9" s="27" t="s">
        <v>561</v>
      </c>
      <c r="U9" s="43" t="s">
        <v>418</v>
      </c>
      <c r="V9" s="11" t="s">
        <v>16</v>
      </c>
      <c r="W9" s="12" t="s">
        <v>16</v>
      </c>
      <c r="X9" s="12" t="s">
        <v>16</v>
      </c>
      <c r="Y9" s="12"/>
      <c r="Z9" s="12"/>
      <c r="AA9" s="12"/>
    </row>
    <row r="10" spans="1:27" s="5" customFormat="1" ht="12.6" hidden="1" customHeight="1">
      <c r="A10" s="5" t="s">
        <v>16</v>
      </c>
      <c r="B10" s="54" t="s">
        <v>16</v>
      </c>
      <c r="C10" s="11" t="s">
        <v>16</v>
      </c>
      <c r="D10" s="25" t="s">
        <v>16</v>
      </c>
      <c r="E10" s="11" t="s">
        <v>16</v>
      </c>
      <c r="F10" s="25" t="s">
        <v>16</v>
      </c>
      <c r="G10" s="26" t="s">
        <v>16</v>
      </c>
      <c r="H10" s="25" t="s">
        <v>16</v>
      </c>
      <c r="I10" s="11" t="s">
        <v>16</v>
      </c>
      <c r="J10" s="11" t="s">
        <v>16</v>
      </c>
      <c r="K10" s="11" t="s">
        <v>16</v>
      </c>
      <c r="L10" s="11" t="s">
        <v>16</v>
      </c>
      <c r="M10" s="12" t="s">
        <v>16</v>
      </c>
      <c r="N10" s="11" t="s">
        <v>16</v>
      </c>
      <c r="O10" s="12" t="s">
        <v>16</v>
      </c>
      <c r="P10" s="11" t="s">
        <v>16</v>
      </c>
      <c r="Q10" s="12" t="s">
        <v>16</v>
      </c>
      <c r="R10" s="12" t="s">
        <v>16</v>
      </c>
      <c r="S10" s="2" t="s">
        <v>16</v>
      </c>
      <c r="T10" s="12" t="s">
        <v>16</v>
      </c>
      <c r="U10" s="12" t="s">
        <v>16</v>
      </c>
      <c r="V10" s="12" t="s">
        <v>16</v>
      </c>
      <c r="W10" s="12" t="s">
        <v>16</v>
      </c>
      <c r="X10" s="12" t="s">
        <v>16</v>
      </c>
      <c r="Y10" s="12"/>
      <c r="Z10" s="12"/>
      <c r="AA10" s="12"/>
    </row>
    <row r="11" spans="1:27" ht="12.6" customHeight="1">
      <c r="A11" s="24" t="s">
        <v>16</v>
      </c>
      <c r="B11" s="24" t="s">
        <v>16</v>
      </c>
      <c r="C11" s="19" t="s">
        <v>16</v>
      </c>
      <c r="D11" s="23" t="s">
        <v>16</v>
      </c>
      <c r="E11" s="22" t="s">
        <v>16</v>
      </c>
      <c r="F11" s="23" t="s">
        <v>16</v>
      </c>
      <c r="G11" s="19" t="s">
        <v>16</v>
      </c>
      <c r="H11" s="19" t="s">
        <v>16</v>
      </c>
      <c r="I11" s="19" t="s">
        <v>16</v>
      </c>
      <c r="J11" s="19" t="s">
        <v>16</v>
      </c>
      <c r="K11" s="21" t="s">
        <v>16</v>
      </c>
      <c r="L11" s="19" t="s">
        <v>16</v>
      </c>
      <c r="M11" s="21" t="s">
        <v>16</v>
      </c>
      <c r="N11" s="19" t="s">
        <v>16</v>
      </c>
      <c r="O11" s="21" t="s">
        <v>16</v>
      </c>
      <c r="P11" s="21" t="s">
        <v>16</v>
      </c>
      <c r="Q11" s="20" t="s">
        <v>16</v>
      </c>
      <c r="R11" s="21" t="s">
        <v>16</v>
      </c>
      <c r="S11" s="21" t="s">
        <v>16</v>
      </c>
      <c r="T11" s="21" t="s">
        <v>16</v>
      </c>
      <c r="U11" s="21" t="s">
        <v>16</v>
      </c>
      <c r="V11" s="18" t="s">
        <v>16</v>
      </c>
      <c r="W11" s="21" t="s">
        <v>16</v>
      </c>
      <c r="X11" s="21" t="s">
        <v>16</v>
      </c>
    </row>
    <row r="12" spans="1:27" s="5" customFormat="1" ht="12.6" customHeight="1">
      <c r="A12" s="66" t="str">
        <f>EFz!A9</f>
        <v>Canon</v>
      </c>
      <c r="B12" s="17" t="str">
        <f>EFz!B9</f>
        <v xml:space="preserve">EF 16-35/4 L IS USM          </v>
      </c>
      <c r="C12" s="3" t="str">
        <f>EFz!C9</f>
        <v>16-35</v>
      </c>
      <c r="D12" s="3">
        <f>EFz!D9</f>
        <v>4</v>
      </c>
      <c r="E12" s="3" t="str">
        <f>EFz!E9</f>
        <v>26-56</v>
      </c>
      <c r="F12" s="67" t="str">
        <f>EFz!F9</f>
        <v>EF</v>
      </c>
      <c r="G12" s="68">
        <f>EFz!G9</f>
        <v>0.28000000000000003</v>
      </c>
      <c r="H12" s="69">
        <f>EFz!H9</f>
        <v>0.61499999999999999</v>
      </c>
      <c r="I12" s="2">
        <f>EFz!I9</f>
        <v>112.8</v>
      </c>
      <c r="J12" s="2">
        <f>EFz!J9</f>
        <v>82.6</v>
      </c>
      <c r="K12" s="3">
        <f>EFz!K9</f>
        <v>77</v>
      </c>
      <c r="L12" s="58">
        <f>EFz!L9</f>
        <v>812.375</v>
      </c>
      <c r="M12" s="16" t="str">
        <f>EFz!M9</f>
        <v>.16-01</v>
      </c>
      <c r="N12" s="58">
        <f>EFz!N9</f>
        <v>1066.875</v>
      </c>
      <c r="O12" s="16" t="str">
        <f>EFz!O9</f>
        <v>.15-10</v>
      </c>
      <c r="P12" s="58" t="str">
        <f>EFz!P9</f>
        <v xml:space="preserve"> </v>
      </c>
      <c r="Q12" s="16" t="str">
        <f>EFz!Q9</f>
        <v xml:space="preserve"> </v>
      </c>
      <c r="R12" s="41" t="str">
        <f>EFz!R9</f>
        <v xml:space="preserve"> </v>
      </c>
      <c r="S12" s="58">
        <f>EFz!S9</f>
        <v>1050</v>
      </c>
      <c r="T12" s="16" t="str">
        <f>EFz!T9</f>
        <v>.16-01</v>
      </c>
      <c r="U12" s="41" t="str">
        <f>EFz!U9</f>
        <v>keh</v>
      </c>
      <c r="W12" s="11">
        <f t="shared" ref="W12" si="0">I12*PI()*J12*J12*X12*X12/4000</f>
        <v>604.44818194841741</v>
      </c>
      <c r="X12" s="25">
        <v>1</v>
      </c>
    </row>
    <row r="13" spans="1:27" s="5" customFormat="1" ht="12.6" customHeight="1">
      <c r="A13" s="66" t="str">
        <f>EFz!A14</f>
        <v>Canon</v>
      </c>
      <c r="B13" s="17" t="str">
        <f>EFz!B14</f>
        <v xml:space="preserve">EF 24-70/2.8 L II USM          </v>
      </c>
      <c r="C13" s="3" t="str">
        <f>EFz!C14</f>
        <v>24-70</v>
      </c>
      <c r="D13" s="3">
        <f>EFz!D14</f>
        <v>2.8</v>
      </c>
      <c r="E13" s="3" t="str">
        <f>EFz!E14</f>
        <v>38-110</v>
      </c>
      <c r="F13" s="67" t="str">
        <f>EFz!F14</f>
        <v>EF</v>
      </c>
      <c r="G13" s="68">
        <f>EFz!G14</f>
        <v>0.38</v>
      </c>
      <c r="H13" s="69">
        <f>EFz!H14</f>
        <v>0.80300000000000005</v>
      </c>
      <c r="I13" s="2">
        <f>EFz!I14</f>
        <v>111.8</v>
      </c>
      <c r="J13" s="2">
        <f>EFz!J14</f>
        <v>88.9</v>
      </c>
      <c r="K13" s="3">
        <f>EFz!K14</f>
        <v>82</v>
      </c>
      <c r="L13" s="58">
        <f>EFz!L14</f>
        <v>1381.7777777777778</v>
      </c>
      <c r="M13" s="16" t="str">
        <f>EFz!M14</f>
        <v>.16-01</v>
      </c>
      <c r="N13" s="58">
        <f>EFz!N14</f>
        <v>1625.4</v>
      </c>
      <c r="O13" s="16" t="str">
        <f>EFz!O14</f>
        <v>.16-01</v>
      </c>
      <c r="P13" s="58">
        <f>EFz!P14</f>
        <v>1410</v>
      </c>
      <c r="Q13" s="16" t="str">
        <f>EFz!Q14</f>
        <v>.16-01</v>
      </c>
      <c r="R13" s="41" t="str">
        <f>EFz!R14</f>
        <v>LA</v>
      </c>
      <c r="S13" s="58">
        <f>EFz!S14</f>
        <v>1520</v>
      </c>
      <c r="T13" s="16" t="str">
        <f>EFz!T14</f>
        <v>.16-01</v>
      </c>
      <c r="U13" s="41" t="str">
        <f>EFz!U14</f>
        <v>LA</v>
      </c>
      <c r="W13" s="11">
        <f>I13*PI()*J13*J13*X13*X13/4000</f>
        <v>693.96122799797797</v>
      </c>
      <c r="X13" s="25">
        <v>1</v>
      </c>
    </row>
    <row r="14" spans="1:27" s="5" customFormat="1" ht="12.6" customHeight="1">
      <c r="A14" s="60" t="str">
        <f>EFz!A21</f>
        <v>Canon</v>
      </c>
      <c r="B14" s="48" t="str">
        <f>EFz!B21</f>
        <v>EF 70-200/2.8 L IS II USM</v>
      </c>
      <c r="C14" s="64" t="str">
        <f>EFz!C21</f>
        <v>70-200</v>
      </c>
      <c r="D14" s="64">
        <f>EFz!D21</f>
        <v>2.8</v>
      </c>
      <c r="E14" s="64" t="str">
        <f>EFz!E21</f>
        <v>110-320</v>
      </c>
      <c r="F14" s="65" t="str">
        <f>EFz!F21</f>
        <v>EF</v>
      </c>
      <c r="G14" s="50">
        <f>EFz!G21</f>
        <v>1.2</v>
      </c>
      <c r="H14" s="31">
        <f>EFz!H21</f>
        <v>1.49</v>
      </c>
      <c r="I14" s="27">
        <f>EFz!I21</f>
        <v>199</v>
      </c>
      <c r="J14" s="27">
        <f>EFz!J21</f>
        <v>88.8</v>
      </c>
      <c r="K14" s="64">
        <f>EFz!K21</f>
        <v>77</v>
      </c>
      <c r="L14" s="52">
        <f>EFz!L21</f>
        <v>1535.8</v>
      </c>
      <c r="M14" s="61" t="str">
        <f>EFz!M21</f>
        <v>.16-01</v>
      </c>
      <c r="N14" s="52">
        <f>EFz!N21</f>
        <v>1776.6</v>
      </c>
      <c r="O14" s="61" t="str">
        <f>EFz!O21</f>
        <v>.16-01</v>
      </c>
      <c r="P14" s="52">
        <f>EFz!P21</f>
        <v>1700</v>
      </c>
      <c r="Q14" s="61" t="str">
        <f>EFz!Q21</f>
        <v>.16-01</v>
      </c>
      <c r="R14" s="43" t="str">
        <f>EFz!R21</f>
        <v>LA</v>
      </c>
      <c r="S14" s="52">
        <f>EFz!S21</f>
        <v>1900</v>
      </c>
      <c r="T14" s="61" t="str">
        <f>EFz!T21</f>
        <v>.16-01</v>
      </c>
      <c r="U14" s="43" t="str">
        <f>EFz!U21</f>
        <v>keh</v>
      </c>
      <c r="W14" s="27">
        <f>I14*PI()*J14*J14*X14*X14/4000</f>
        <v>1232.4488086225742</v>
      </c>
      <c r="X14" s="25">
        <v>1</v>
      </c>
    </row>
    <row r="15" spans="1:27" ht="12.6" customHeight="1">
      <c r="H15" s="25">
        <f>SUM(H12:H14)</f>
        <v>2.9080000000000004</v>
      </c>
      <c r="W15" s="11">
        <f>SUM(W12:W14)</f>
        <v>2530.8582185689697</v>
      </c>
      <c r="X15" s="25"/>
    </row>
    <row r="16" spans="1:27" ht="12.6" customHeight="1">
      <c r="W16" s="70"/>
      <c r="X16" s="23"/>
    </row>
    <row r="17" spans="1:24" s="5" customFormat="1" ht="12.6" customHeight="1">
      <c r="A17" s="66" t="str">
        <f>XF!A6</f>
        <v>Fujifilm</v>
      </c>
      <c r="B17" s="17" t="str">
        <f>XF!B6</f>
        <v>Fujinon XF 14/2.8 R</v>
      </c>
      <c r="C17" s="3">
        <f>XF!C6</f>
        <v>14</v>
      </c>
      <c r="D17" s="3">
        <f>XF!D6</f>
        <v>2.8</v>
      </c>
      <c r="E17" s="3">
        <f>XF!E6</f>
        <v>21</v>
      </c>
      <c r="F17" s="67" t="str">
        <f>XF!F6</f>
        <v>X</v>
      </c>
      <c r="G17" s="68">
        <f>XF!G6</f>
        <v>0.18</v>
      </c>
      <c r="H17" s="69">
        <f>XF!H6</f>
        <v>0.23499999999999999</v>
      </c>
      <c r="I17" s="2">
        <f>XF!I6</f>
        <v>58.4</v>
      </c>
      <c r="J17" s="2">
        <f>XF!J6</f>
        <v>65</v>
      </c>
      <c r="K17" s="3">
        <f>XF!K6</f>
        <v>58</v>
      </c>
      <c r="L17" s="58">
        <f>XF!L6</f>
        <v>485.33333333333331</v>
      </c>
      <c r="M17" s="16" t="str">
        <f>XF!M6</f>
        <v>.15-11</v>
      </c>
      <c r="N17" s="58">
        <f>XF!N6</f>
        <v>607.20000000000005</v>
      </c>
      <c r="O17" s="16" t="str">
        <f>XF!O6</f>
        <v>.16-01</v>
      </c>
      <c r="P17" s="58">
        <f>XF!P6</f>
        <v>645</v>
      </c>
      <c r="Q17" s="16" t="str">
        <f>XF!Q6</f>
        <v>.14-03</v>
      </c>
      <c r="R17" s="41" t="str">
        <f>XF!R6</f>
        <v>keh</v>
      </c>
      <c r="S17" s="58">
        <f>XF!S6</f>
        <v>560</v>
      </c>
      <c r="T17" s="16" t="str">
        <f>XF!T6</f>
        <v>.16-01</v>
      </c>
      <c r="U17" s="41" t="str">
        <f>XF!U6</f>
        <v>LA</v>
      </c>
      <c r="W17" s="11">
        <f t="shared" ref="W17:W19" si="1">I17*PI()*J17*J17*X17*X17/4000</f>
        <v>193.78914283668638</v>
      </c>
      <c r="X17" s="25">
        <v>1</v>
      </c>
    </row>
    <row r="18" spans="1:24" s="5" customFormat="1" ht="12.6" customHeight="1">
      <c r="A18" s="66" t="str">
        <f>XF!A20</f>
        <v>Fujifilm</v>
      </c>
      <c r="B18" s="17" t="str">
        <f>XF!B20</f>
        <v>Fujinon XF 18-55/2.8-4 OIS</v>
      </c>
      <c r="C18" s="3" t="str">
        <f>XF!C20</f>
        <v>18-55</v>
      </c>
      <c r="D18" s="3" t="str">
        <f>XF!D20</f>
        <v>2.8-4</v>
      </c>
      <c r="E18" s="3" t="str">
        <f>XF!E20</f>
        <v>27-85</v>
      </c>
      <c r="F18" s="67" t="str">
        <f>XF!F20</f>
        <v>X</v>
      </c>
      <c r="G18" s="68">
        <f>XF!G20</f>
        <v>0.3</v>
      </c>
      <c r="H18" s="69">
        <f>XF!H20</f>
        <v>0.31</v>
      </c>
      <c r="I18" s="2">
        <f>XF!I20</f>
        <v>70.400000000000006</v>
      </c>
      <c r="J18" s="2">
        <f>XF!J20</f>
        <v>65</v>
      </c>
      <c r="K18" s="3">
        <f>XF!K20</f>
        <v>58</v>
      </c>
      <c r="L18" s="58">
        <f>XF!L20</f>
        <v>250.88888888888889</v>
      </c>
      <c r="M18" s="16" t="str">
        <f>XF!M20</f>
        <v>.16-01</v>
      </c>
      <c r="N18" s="58">
        <f>XF!N20</f>
        <v>373.27272727272725</v>
      </c>
      <c r="O18" s="16" t="str">
        <f>XF!O20</f>
        <v>.16-01</v>
      </c>
      <c r="P18" s="58">
        <f>XF!P20</f>
        <v>270</v>
      </c>
      <c r="Q18" s="16" t="str">
        <f>XF!Q20</f>
        <v>.16-01</v>
      </c>
      <c r="R18" s="41" t="str">
        <f>XF!R20</f>
        <v>keh</v>
      </c>
      <c r="S18" s="58">
        <f>XF!S20</f>
        <v>313</v>
      </c>
      <c r="T18" s="16" t="str">
        <f>XF!T20</f>
        <v>.16-01</v>
      </c>
      <c r="U18" s="41" t="str">
        <f>XF!U20</f>
        <v>keh</v>
      </c>
      <c r="W18" s="11">
        <f t="shared" si="1"/>
        <v>233.60882972093705</v>
      </c>
      <c r="X18" s="25">
        <v>1</v>
      </c>
    </row>
    <row r="19" spans="1:24" s="5" customFormat="1" ht="12.6" customHeight="1">
      <c r="A19" s="60" t="str">
        <f>EFz!A23</f>
        <v>Canon</v>
      </c>
      <c r="B19" s="48" t="str">
        <f>EFz!B23</f>
        <v>EF 70-200/4 L IS USM</v>
      </c>
      <c r="C19" s="64" t="str">
        <f>EFz!C23</f>
        <v>70-200</v>
      </c>
      <c r="D19" s="64">
        <f>EFz!D23</f>
        <v>4</v>
      </c>
      <c r="E19" s="64" t="str">
        <f>EFz!E23</f>
        <v>110-320</v>
      </c>
      <c r="F19" s="65" t="str">
        <f>EFz!F23</f>
        <v>EF</v>
      </c>
      <c r="G19" s="50">
        <f>EFz!G23</f>
        <v>1.2</v>
      </c>
      <c r="H19" s="31">
        <f>EFz!H23</f>
        <v>0.76</v>
      </c>
      <c r="I19" s="27">
        <f>EFz!I23</f>
        <v>172</v>
      </c>
      <c r="J19" s="27">
        <f>EFz!J23</f>
        <v>76</v>
      </c>
      <c r="K19" s="64">
        <f>EFz!K23</f>
        <v>67</v>
      </c>
      <c r="L19" s="52">
        <f>EFz!L23</f>
        <v>709.36363636363637</v>
      </c>
      <c r="M19" s="61" t="str">
        <f>EFz!M23</f>
        <v>.16-01</v>
      </c>
      <c r="N19" s="52">
        <f>EFz!N23</f>
        <v>864.42333333333329</v>
      </c>
      <c r="O19" s="61" t="str">
        <f>EFz!O23</f>
        <v>.16-01</v>
      </c>
      <c r="P19" s="52">
        <f>EFz!P23</f>
        <v>755</v>
      </c>
      <c r="Q19" s="61" t="str">
        <f>EFz!Q23</f>
        <v>.16-01</v>
      </c>
      <c r="R19" s="43" t="str">
        <f>EFz!R23</f>
        <v>keh</v>
      </c>
      <c r="S19" s="52">
        <f>EFz!S23</f>
        <v>695</v>
      </c>
      <c r="T19" s="61" t="str">
        <f>EFz!T23</f>
        <v>.16-01</v>
      </c>
      <c r="U19" s="43" t="str">
        <f>EFz!U23</f>
        <v>igor</v>
      </c>
      <c r="W19" s="27">
        <f t="shared" si="1"/>
        <v>780.27108418678972</v>
      </c>
      <c r="X19" s="25">
        <v>1</v>
      </c>
    </row>
    <row r="20" spans="1:24" ht="12.6" customHeight="1">
      <c r="H20" s="25">
        <f>SUM(H17:H19)</f>
        <v>1.3049999999999999</v>
      </c>
      <c r="W20" s="11">
        <f>SUM(W17:W19)</f>
        <v>1207.6690567444132</v>
      </c>
      <c r="X20" s="25"/>
    </row>
    <row r="21" spans="1:24" ht="12.6" customHeight="1">
      <c r="X21" s="23"/>
    </row>
    <row r="22" spans="1:24" s="5" customFormat="1" ht="12.6" customHeight="1">
      <c r="A22" s="66" t="str">
        <f>LNOP!A120</f>
        <v>Pentax</v>
      </c>
      <c r="B22" s="17" t="str">
        <f>LNOP!B120</f>
        <v>SMC Pentax-M 20/4</v>
      </c>
      <c r="C22" s="3">
        <f>LNOP!C120</f>
        <v>20</v>
      </c>
      <c r="D22" s="3">
        <f>LNOP!D120</f>
        <v>4</v>
      </c>
      <c r="E22" s="3">
        <f>LNOP!E120</f>
        <v>32</v>
      </c>
      <c r="F22" s="67" t="str">
        <f>LNOP!F120</f>
        <v>K</v>
      </c>
      <c r="G22" s="68">
        <f>LNOP!G120</f>
        <v>0.25</v>
      </c>
      <c r="H22" s="69">
        <f>LNOP!H120</f>
        <v>0.15</v>
      </c>
      <c r="I22" s="2">
        <f>LNOP!I120</f>
        <v>30</v>
      </c>
      <c r="J22" s="2">
        <f>LNOP!J120</f>
        <v>63</v>
      </c>
      <c r="K22" s="3">
        <f>LNOP!K120</f>
        <v>49</v>
      </c>
      <c r="L22" s="58">
        <f>LNOP!L120</f>
        <v>250.2</v>
      </c>
      <c r="M22" s="16" t="str">
        <f>LNOP!M120</f>
        <v>.16-01</v>
      </c>
      <c r="N22" s="58">
        <f>LNOP!N120</f>
        <v>344.33333333333331</v>
      </c>
      <c r="O22" s="16" t="str">
        <f>LNOP!O120</f>
        <v>.15-12</v>
      </c>
      <c r="P22" s="58">
        <f>LNOP!P120</f>
        <v>395</v>
      </c>
      <c r="Q22" s="16" t="str">
        <f>LNOP!Q120</f>
        <v>.14-03</v>
      </c>
      <c r="R22" s="41" t="str">
        <f>LNOP!R120</f>
        <v>kevin</v>
      </c>
      <c r="S22" s="58">
        <f>LNOP!S120</f>
        <v>525</v>
      </c>
      <c r="T22" s="16" t="str">
        <f>LNOP!T120</f>
        <v>.14-03</v>
      </c>
      <c r="U22" s="41" t="str">
        <f>LNOP!U120</f>
        <v>kevin</v>
      </c>
      <c r="W22" s="11">
        <f t="shared" ref="W22:W24" si="2">I22*PI()*J22*J22*X22*X22/4000</f>
        <v>93.517359315734168</v>
      </c>
      <c r="X22" s="25">
        <v>1</v>
      </c>
    </row>
    <row r="23" spans="1:24" s="5" customFormat="1" ht="12.6" customHeight="1">
      <c r="A23" s="66" t="str">
        <f>EFp!A24</f>
        <v>Canon</v>
      </c>
      <c r="B23" s="17" t="str">
        <f>EFp!B24</f>
        <v>EF 40/2.8 STM</v>
      </c>
      <c r="C23" s="3">
        <f>EFp!C24</f>
        <v>40</v>
      </c>
      <c r="D23" s="3">
        <f>EFp!D24</f>
        <v>2.8</v>
      </c>
      <c r="E23" s="3">
        <f>EFp!E24</f>
        <v>64</v>
      </c>
      <c r="F23" s="67" t="str">
        <f>EFp!F24</f>
        <v>EF</v>
      </c>
      <c r="G23" s="68">
        <f>EFp!G24</f>
        <v>0.3</v>
      </c>
      <c r="H23" s="69">
        <f>EFp!H24</f>
        <v>0.13</v>
      </c>
      <c r="I23" s="2">
        <f>EFp!I24</f>
        <v>22.9</v>
      </c>
      <c r="J23" s="2">
        <f>EFp!J24</f>
        <v>68.599999999999994</v>
      </c>
      <c r="K23" s="3">
        <f>EFp!K24</f>
        <v>52</v>
      </c>
      <c r="L23" s="58">
        <f>EFp!L24</f>
        <v>96.375</v>
      </c>
      <c r="M23" s="16" t="str">
        <f>EFp!M24</f>
        <v>.16-01</v>
      </c>
      <c r="N23" s="58">
        <f>EFp!N24</f>
        <v>111.33333333333333</v>
      </c>
      <c r="O23" s="16" t="str">
        <f>EFp!O24</f>
        <v>.16-01</v>
      </c>
      <c r="P23" s="58">
        <f>EFp!P24</f>
        <v>110</v>
      </c>
      <c r="Q23" s="16" t="str">
        <f>EFp!Q24</f>
        <v>.16-01</v>
      </c>
      <c r="R23" s="41" t="str">
        <f>EFp!R24</f>
        <v>keh</v>
      </c>
      <c r="S23" s="58">
        <f>EFp!S24</f>
        <v>115</v>
      </c>
      <c r="T23" s="16" t="str">
        <f>EFp!T24</f>
        <v>.16-01</v>
      </c>
      <c r="U23" s="41" t="str">
        <f>EFp!U24</f>
        <v>camW</v>
      </c>
      <c r="W23" s="11">
        <f t="shared" si="2"/>
        <v>84.63959860940048</v>
      </c>
      <c r="X23" s="25">
        <v>1</v>
      </c>
    </row>
    <row r="24" spans="1:24" s="5" customFormat="1" ht="12.6" customHeight="1">
      <c r="A24" s="66" t="str">
        <f>CZ.V!A107</f>
        <v>Voigtlander</v>
      </c>
      <c r="B24" s="17" t="str">
        <f>CZ.V!B107</f>
        <v xml:space="preserve">75/2.5 Color Heliar SL </v>
      </c>
      <c r="C24" s="3">
        <f>CZ.V!C107</f>
        <v>75</v>
      </c>
      <c r="D24" s="3">
        <f>CZ.V!D107</f>
        <v>2.5</v>
      </c>
      <c r="E24" s="3">
        <f>CZ.V!E107</f>
        <v>120</v>
      </c>
      <c r="F24" s="67" t="str">
        <f>CZ.V!F107</f>
        <v>x</v>
      </c>
      <c r="G24" s="68">
        <f>CZ.V!G107</f>
        <v>0.7</v>
      </c>
      <c r="H24" s="69">
        <f>CZ.V!H107</f>
        <v>0.25</v>
      </c>
      <c r="I24" s="2">
        <f>CZ.V!I107</f>
        <v>40.200000000000003</v>
      </c>
      <c r="J24" s="2">
        <f>CZ.V!J107</f>
        <v>63.5</v>
      </c>
      <c r="K24" s="3">
        <f>CZ.V!K107</f>
        <v>49</v>
      </c>
      <c r="L24" s="58">
        <f>CZ.V!L107</f>
        <v>342.75</v>
      </c>
      <c r="M24" s="16" t="str">
        <f>CZ.V!M107</f>
        <v>.16-01</v>
      </c>
      <c r="N24" s="58">
        <f>CZ.V!N107</f>
        <v>449.33333333333331</v>
      </c>
      <c r="O24" s="16" t="str">
        <f>CZ.V!O107</f>
        <v>.16-01</v>
      </c>
      <c r="P24" s="58" t="str">
        <f>CZ.V!P107</f>
        <v xml:space="preserve"> </v>
      </c>
      <c r="Q24" s="16" t="str">
        <f>CZ.V!Q107</f>
        <v xml:space="preserve"> </v>
      </c>
      <c r="R24" s="41" t="str">
        <f>CZ.V!R107</f>
        <v xml:space="preserve"> </v>
      </c>
      <c r="S24" s="58" t="str">
        <f>CZ.V!S107</f>
        <v xml:space="preserve"> </v>
      </c>
      <c r="T24" s="16" t="str">
        <f>CZ.V!T107</f>
        <v xml:space="preserve"> </v>
      </c>
      <c r="U24" s="41" t="str">
        <f>CZ.V!U107</f>
        <v xml:space="preserve"> </v>
      </c>
      <c r="W24" s="11">
        <f t="shared" si="2"/>
        <v>127.31025412324631</v>
      </c>
      <c r="X24" s="25">
        <v>1</v>
      </c>
    </row>
    <row r="25" spans="1:24" s="5" customFormat="1" ht="12.6" customHeight="1">
      <c r="A25" s="60" t="str">
        <f>LNOP!A138</f>
        <v>Pentax</v>
      </c>
      <c r="B25" s="48" t="str">
        <f>LNOP!B138</f>
        <v>SMC Pentax-M 135/3.5</v>
      </c>
      <c r="C25" s="64">
        <f>LNOP!C138</f>
        <v>135</v>
      </c>
      <c r="D25" s="64">
        <f>LNOP!D138</f>
        <v>3.5</v>
      </c>
      <c r="E25" s="64">
        <f>LNOP!E138</f>
        <v>216</v>
      </c>
      <c r="F25" s="65" t="str">
        <f>LNOP!F138</f>
        <v>K</v>
      </c>
      <c r="G25" s="50">
        <f>LNOP!G138</f>
        <v>1.5</v>
      </c>
      <c r="H25" s="31">
        <f>LNOP!H138</f>
        <v>0.27</v>
      </c>
      <c r="I25" s="27">
        <f>LNOP!I138</f>
        <v>66</v>
      </c>
      <c r="J25" s="27">
        <f>LNOP!J138</f>
        <v>63</v>
      </c>
      <c r="K25" s="64">
        <f>LNOP!K138</f>
        <v>49</v>
      </c>
      <c r="L25" s="52">
        <f>LNOP!L138</f>
        <v>51.333333333333336</v>
      </c>
      <c r="M25" s="61" t="str">
        <f>LNOP!M138</f>
        <v>.12-02</v>
      </c>
      <c r="N25" s="52">
        <f>LNOP!N138</f>
        <v>124.33333333333333</v>
      </c>
      <c r="O25" s="61" t="str">
        <f>LNOP!O138</f>
        <v>.16-01</v>
      </c>
      <c r="P25" s="52">
        <f>LNOP!P138</f>
        <v>80</v>
      </c>
      <c r="Q25" s="61" t="str">
        <f>LNOP!Q138</f>
        <v>.16-01</v>
      </c>
      <c r="R25" s="43" t="str">
        <f>LNOP!R138</f>
        <v>b&amp;h</v>
      </c>
      <c r="S25" s="52" t="str">
        <f>LNOP!S138</f>
        <v xml:space="preserve"> </v>
      </c>
      <c r="T25" s="61" t="str">
        <f>LNOP!T138</f>
        <v xml:space="preserve"> </v>
      </c>
      <c r="U25" s="43" t="str">
        <f>LNOP!U138</f>
        <v xml:space="preserve"> </v>
      </c>
      <c r="W25" s="27">
        <f t="shared" ref="W25" si="3">I25*PI()*J25*J25*X25*X25/4000</f>
        <v>205.73819049461517</v>
      </c>
      <c r="X25" s="25">
        <v>1</v>
      </c>
    </row>
    <row r="26" spans="1:24" ht="12.6" customHeight="1">
      <c r="H26" s="25">
        <f>SUM(H22:H25)</f>
        <v>0.8</v>
      </c>
      <c r="W26" s="11">
        <f>SUM(W22:W25)</f>
        <v>511.20540254299613</v>
      </c>
      <c r="X26" s="25"/>
    </row>
    <row r="27" spans="1:24" ht="12.6" customHeight="1">
      <c r="X27" s="23"/>
    </row>
    <row r="28" spans="1:24" ht="12.6" customHeight="1">
      <c r="X28" s="23"/>
    </row>
    <row r="29" spans="1:24" ht="12.6" customHeight="1">
      <c r="X29" s="23"/>
    </row>
    <row r="30" spans="1:24" ht="12.6" customHeight="1">
      <c r="X30" s="23"/>
    </row>
    <row r="31" spans="1:24" ht="12.6" customHeight="1">
      <c r="X31" s="23"/>
    </row>
    <row r="32" spans="1:24" ht="12.6" customHeight="1">
      <c r="X32" s="23"/>
    </row>
    <row r="33" spans="24:24" ht="12.6" customHeight="1">
      <c r="X33" s="23"/>
    </row>
  </sheetData>
  <sortState ref="A66:AB73">
    <sortCondition descending="1" ref="H66:H73"/>
  </sortState>
  <phoneticPr fontId="0" type="noConversion"/>
  <conditionalFormatting sqref="M7:M9 O7:O9">
    <cfRule type="cellIs" dxfId="16" priority="374" stopIfTrue="1" operator="lessThan">
      <formula>".08-09"</formula>
    </cfRule>
  </conditionalFormatting>
  <conditionalFormatting sqref="O12:O14 M12:M14">
    <cfRule type="cellIs" dxfId="15" priority="54" stopIfTrue="1" operator="lessThan">
      <formula>".08-09"</formula>
    </cfRule>
  </conditionalFormatting>
  <conditionalFormatting sqref="O17:O19 M17:M19">
    <cfRule type="cellIs" dxfId="11" priority="49" stopIfTrue="1" operator="lessThan">
      <formula>".08-09"</formula>
    </cfRule>
  </conditionalFormatting>
  <conditionalFormatting sqref="O22:O23 M22:M23">
    <cfRule type="cellIs" dxfId="10" priority="48" stopIfTrue="1" operator="lessThan">
      <formula>".08-09"</formula>
    </cfRule>
  </conditionalFormatting>
  <conditionalFormatting sqref="O24 M24">
    <cfRule type="cellIs" dxfId="3" priority="4" stopIfTrue="1" operator="lessThan">
      <formula>".08-09"</formula>
    </cfRule>
  </conditionalFormatting>
  <conditionalFormatting sqref="O24 M24">
    <cfRule type="cellIs" dxfId="2" priority="3" stopIfTrue="1" operator="lessThan">
      <formula>".08-09"</formula>
    </cfRule>
  </conditionalFormatting>
  <conditionalFormatting sqref="O25 M25">
    <cfRule type="cellIs" dxfId="1" priority="2"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vt:lpstr>
      <vt:lpstr>EFp</vt:lpstr>
      <vt:lpstr>EFz</vt:lpstr>
      <vt:lpstr>STT</vt:lpstr>
      <vt:lpstr>CZ.V</vt:lpstr>
      <vt:lpstr>LNOP</vt:lpstr>
      <vt:lpstr>645</vt:lpstr>
      <vt:lpstr>XF</vt:lpstr>
      <vt:lpstr>compare</vt:lpstr>
      <vt:lpstr>CA.US</vt:lpstr>
      <vt:lpstr>'645'!Print_Titles</vt:lpstr>
      <vt:lpstr>compare!Print_Titles</vt:lpstr>
      <vt:lpstr>CZ.V!Print_Titles</vt:lpstr>
      <vt:lpstr>EFp!Print_Titles</vt:lpstr>
      <vt:lpstr>EFz!Print_Titles</vt:lpstr>
      <vt:lpstr>i!Print_Titles</vt:lpstr>
      <vt:lpstr>LNOP!Print_Titles</vt:lpstr>
      <vt:lpstr>STT!Print_Titles</vt:lpstr>
      <vt:lpstr>XF!Print_Titles</vt:lpstr>
    </vt:vector>
  </TitlesOfParts>
  <Company>DRDC Atlantic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 Colwell</dc:creator>
  <cp:lastModifiedBy>James Colwell</cp:lastModifiedBy>
  <cp:lastPrinted>2016-02-01T15:45:41Z</cp:lastPrinted>
  <dcterms:created xsi:type="dcterms:W3CDTF">2006-02-03T12:48:50Z</dcterms:created>
  <dcterms:modified xsi:type="dcterms:W3CDTF">2016-02-01T15:50:21Z</dcterms:modified>
</cp:coreProperties>
</file>