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0" yWindow="870" windowWidth="17730" windowHeight="12165" activeTab="0"/>
  </bookViews>
  <sheets>
    <sheet name="i" sheetId="1" r:id="rId1"/>
    <sheet name="EFp" sheetId="2" r:id="rId2"/>
    <sheet name="EFz" sheetId="3" r:id="rId3"/>
    <sheet name="CZ.V" sheetId="4" r:id="rId4"/>
    <sheet name="LNOP" sheetId="5" r:id="rId5"/>
    <sheet name="STT" sheetId="6" r:id="rId6"/>
    <sheet name="M645" sheetId="7" r:id="rId7"/>
    <sheet name="compare" sheetId="8" r:id="rId8"/>
  </sheets>
  <definedNames>
    <definedName name="_xlnm.Print_Titles" localSheetId="7">'compare'!$1:$5</definedName>
    <definedName name="_xlnm.Print_Titles" localSheetId="3">'CZ.V'!$1:$5</definedName>
    <definedName name="_xlnm.Print_Titles" localSheetId="1">'EFp'!$1:$5</definedName>
    <definedName name="_xlnm.Print_Titles" localSheetId="2">'EFz'!$1:$5</definedName>
    <definedName name="_xlnm.Print_Titles" localSheetId="0">'i'!$1:$3</definedName>
    <definedName name="_xlnm.Print_Titles" localSheetId="4">'LNOP'!$1:$5</definedName>
    <definedName name="_xlnm.Print_Titles" localSheetId="6">'M645'!$1:$5</definedName>
    <definedName name="_xlnm.Print_Titles" localSheetId="5">'STT'!$1:$5</definedName>
  </definedNames>
  <calcPr fullCalcOnLoad="1"/>
</workbook>
</file>

<file path=xl/sharedStrings.xml><?xml version="1.0" encoding="utf-8"?>
<sst xmlns="http://schemas.openxmlformats.org/spreadsheetml/2006/main" count="5028" uniqueCount="786">
  <si>
    <t>Index of Spreadsheets</t>
  </si>
  <si>
    <t xml:space="preserve">i </t>
  </si>
  <si>
    <t>this information sheet</t>
  </si>
  <si>
    <t>EFp</t>
  </si>
  <si>
    <t>EFz</t>
  </si>
  <si>
    <t>Notation - Spreadsheet Columns</t>
  </si>
  <si>
    <t xml:space="preserve">f </t>
  </si>
  <si>
    <t>wt</t>
  </si>
  <si>
    <t>df</t>
  </si>
  <si>
    <t>E  to E++</t>
  </si>
  <si>
    <t>price category for "Excellent" condition items</t>
  </si>
  <si>
    <t>M-  to  N</t>
  </si>
  <si>
    <t>price category for "near Mint" to "New" condition items</t>
  </si>
  <si>
    <t>f/</t>
  </si>
  <si>
    <t>maximum aperture (lens wide open), f/ = a.max = minimum F-stop number (e.g. f/1.4)</t>
  </si>
  <si>
    <t>mt</t>
  </si>
  <si>
    <t>Dmin</t>
  </si>
  <si>
    <t>d</t>
  </si>
  <si>
    <t>l</t>
  </si>
  <si>
    <t>Canon lens specs are from Canon's Canada and US web sites for current and some recent products.</t>
  </si>
  <si>
    <t xml:space="preserve"> </t>
  </si>
  <si>
    <t>eBay</t>
  </si>
  <si>
    <t>other suppliers</t>
  </si>
  <si>
    <t xml:space="preserve">       E  to E++</t>
  </si>
  <si>
    <t xml:space="preserve">      M-  to  N</t>
  </si>
  <si>
    <t>(mm)</t>
  </si>
  <si>
    <t>(kg)</t>
  </si>
  <si>
    <t>$US</t>
  </si>
  <si>
    <t>date</t>
  </si>
  <si>
    <t>site</t>
  </si>
  <si>
    <t>Sch-K</t>
  </si>
  <si>
    <t>mpex</t>
  </si>
  <si>
    <t>Nikon</t>
  </si>
  <si>
    <t>igor</t>
  </si>
  <si>
    <t>camW</t>
  </si>
  <si>
    <t>keh</t>
  </si>
  <si>
    <t>x</t>
  </si>
  <si>
    <t>jack</t>
  </si>
  <si>
    <t>b&amp;h</t>
  </si>
  <si>
    <t>ado</t>
  </si>
  <si>
    <t>Carl Zeiss</t>
  </si>
  <si>
    <t>v.v</t>
  </si>
  <si>
    <t>Canon EF Prime</t>
  </si>
  <si>
    <t>(m)</t>
  </si>
  <si>
    <t>Canon</t>
  </si>
  <si>
    <t xml:space="preserve">EF 14/2.8 L USM           </t>
  </si>
  <si>
    <t>EF</t>
  </si>
  <si>
    <t>rg</t>
  </si>
  <si>
    <t xml:space="preserve">EF 20/2.8 USM             </t>
  </si>
  <si>
    <t xml:space="preserve">EF 24/1.4 L USM           </t>
  </si>
  <si>
    <t xml:space="preserve">EF 24/2.8                 </t>
  </si>
  <si>
    <t xml:space="preserve">TS-E 24/3.5 L           </t>
  </si>
  <si>
    <t>EF-M</t>
  </si>
  <si>
    <t xml:space="preserve">EF 28/1.8 USM             </t>
  </si>
  <si>
    <t xml:space="preserve">EF 28/2.8                 </t>
  </si>
  <si>
    <t xml:space="preserve">EF 35/1.4 L USM           </t>
  </si>
  <si>
    <t xml:space="preserve">TS-E 45/2.8            </t>
  </si>
  <si>
    <t xml:space="preserve">EF 50/1.0 L USM           </t>
  </si>
  <si>
    <t xml:space="preserve">EF 50/1.4 USM             </t>
  </si>
  <si>
    <t xml:space="preserve">EF 50/1.8                 </t>
  </si>
  <si>
    <t xml:space="preserve">EF 50/1.8 II              </t>
  </si>
  <si>
    <t xml:space="preserve">EF 50/2.5 Compact Macro           </t>
  </si>
  <si>
    <t>Lifesize Converter</t>
  </si>
  <si>
    <t>MP-E 65/2.8 Macro Photo</t>
  </si>
  <si>
    <t xml:space="preserve">EF 85/1.2 L USM           </t>
  </si>
  <si>
    <t xml:space="preserve">EF 85/1.8 USM             </t>
  </si>
  <si>
    <t xml:space="preserve">TS-E 90/2.8             </t>
  </si>
  <si>
    <t xml:space="preserve">EF 100/2.0 USM            </t>
  </si>
  <si>
    <t xml:space="preserve">EF 100/2.8 Macro          </t>
  </si>
  <si>
    <t xml:space="preserve">EF 100/2.8 Macro USM      </t>
  </si>
  <si>
    <t xml:space="preserve">EF 135/2.0 L USM          </t>
  </si>
  <si>
    <t xml:space="preserve">EF 135/2.8 Soft           </t>
  </si>
  <si>
    <t xml:space="preserve">EF 180/3.5 L Macro  USM   </t>
  </si>
  <si>
    <t>48 di</t>
  </si>
  <si>
    <t xml:space="preserve">EF 200/2.8 L USM          </t>
  </si>
  <si>
    <t>EF 200/2.8 L II USM</t>
  </si>
  <si>
    <t xml:space="preserve">EF 300/2.8 L USM          </t>
  </si>
  <si>
    <t xml:space="preserve">EF 300/2.8 L IS USM      </t>
  </si>
  <si>
    <t>52 di</t>
  </si>
  <si>
    <t xml:space="preserve">EF 300/4 L USM        </t>
  </si>
  <si>
    <t xml:space="preserve">EF 400/2.8 L USM          </t>
  </si>
  <si>
    <t>EF 400/2.8 L II USM</t>
  </si>
  <si>
    <t xml:space="preserve">EF 400/2.8 L IS USM       </t>
  </si>
  <si>
    <t xml:space="preserve">EF 400/5.6 L USM          </t>
  </si>
  <si>
    <t xml:space="preserve">EF 500/4 L IS USM       </t>
  </si>
  <si>
    <t xml:space="preserve">EF 500/4.5 L USM          </t>
  </si>
  <si>
    <t xml:space="preserve">EF 600/4 L USM            </t>
  </si>
  <si>
    <t xml:space="preserve">EF 600/4 L IS USM   </t>
  </si>
  <si>
    <t xml:space="preserve">EF 1200/5.6 L USM         </t>
  </si>
  <si>
    <t xml:space="preserve">EF 16-35/2.8 L USM          </t>
  </si>
  <si>
    <t>16-35</t>
  </si>
  <si>
    <t>26-56</t>
  </si>
  <si>
    <t xml:space="preserve">EF 17-35/2.8 L USM          </t>
  </si>
  <si>
    <t>17-35</t>
  </si>
  <si>
    <t>27-56</t>
  </si>
  <si>
    <t xml:space="preserve">EF 17-40/4 L USM            </t>
  </si>
  <si>
    <t>17-40</t>
  </si>
  <si>
    <t>27-64</t>
  </si>
  <si>
    <t xml:space="preserve">EF 20-35/2.8 L USM          </t>
  </si>
  <si>
    <t>20-35</t>
  </si>
  <si>
    <t>32-56</t>
  </si>
  <si>
    <t xml:space="preserve">EF 24-70/2.8 L USM          </t>
  </si>
  <si>
    <t>24-70</t>
  </si>
  <si>
    <t>38-110</t>
  </si>
  <si>
    <t>24-105</t>
  </si>
  <si>
    <t>38-168</t>
  </si>
  <si>
    <t xml:space="preserve">EF 28-70/2.8 L USM          </t>
  </si>
  <si>
    <t>28-70</t>
  </si>
  <si>
    <t>45-110</t>
  </si>
  <si>
    <t xml:space="preserve">EF 28-80/2.8-4 L USM        </t>
  </si>
  <si>
    <t>28-80</t>
  </si>
  <si>
    <t>2.8-4</t>
  </si>
  <si>
    <t>45-128</t>
  </si>
  <si>
    <t xml:space="preserve">EF 70-200/2.8 L USM      </t>
  </si>
  <si>
    <t>70-200</t>
  </si>
  <si>
    <t>110-320</t>
  </si>
  <si>
    <t xml:space="preserve">EF 70-200/2.8 L IS USM         </t>
  </si>
  <si>
    <t xml:space="preserve">EF 70-200/4 L USM           </t>
  </si>
  <si>
    <t xml:space="preserve">EF 80-200/2.8 L             </t>
  </si>
  <si>
    <t>80-200</t>
  </si>
  <si>
    <t>128-320</t>
  </si>
  <si>
    <t>1.8</t>
  </si>
  <si>
    <t xml:space="preserve">EF 28-300/3.5-5.6 L IS USM  </t>
  </si>
  <si>
    <t>28-300</t>
  </si>
  <si>
    <t>3.5-5.6</t>
  </si>
  <si>
    <t>45-420</t>
  </si>
  <si>
    <t xml:space="preserve">EF 35-350/3.5-5.6 L USM     </t>
  </si>
  <si>
    <t>35-350</t>
  </si>
  <si>
    <t>56-560</t>
  </si>
  <si>
    <t xml:space="preserve">EF 50-200/3.5-4.5 L         </t>
  </si>
  <si>
    <t>50-200</t>
  </si>
  <si>
    <t>3.5-4.5</t>
  </si>
  <si>
    <t>80-320</t>
  </si>
  <si>
    <t xml:space="preserve">EF 100-300/5.6 L            </t>
  </si>
  <si>
    <t>100-300</t>
  </si>
  <si>
    <t>160-420</t>
  </si>
  <si>
    <t xml:space="preserve">EF 100-400/4.5-5.6L IS USM  </t>
  </si>
  <si>
    <t>100-400</t>
  </si>
  <si>
    <t>4.5-5.6</t>
  </si>
  <si>
    <t>160-640</t>
  </si>
  <si>
    <t xml:space="preserve">                            </t>
  </si>
  <si>
    <t>10-22</t>
  </si>
  <si>
    <t>EF-S</t>
  </si>
  <si>
    <t xml:space="preserve">EF 28-135/3.5-5.6 IS USM    </t>
  </si>
  <si>
    <t>28-135</t>
  </si>
  <si>
    <t>45-215</t>
  </si>
  <si>
    <t xml:space="preserve">EF 70-300/4-5.6 IS USM </t>
  </si>
  <si>
    <t>70-300</t>
  </si>
  <si>
    <t>4-5.6</t>
  </si>
  <si>
    <t>110-420</t>
  </si>
  <si>
    <t xml:space="preserve">EF 70-300/4.5-5.6 DO IS USM </t>
  </si>
  <si>
    <t>Sigma</t>
  </si>
  <si>
    <t>bi</t>
  </si>
  <si>
    <t>12-24</t>
  </si>
  <si>
    <t>19-38</t>
  </si>
  <si>
    <t>20-40</t>
  </si>
  <si>
    <t>32-64</t>
  </si>
  <si>
    <t>24-60</t>
  </si>
  <si>
    <t>38-96</t>
  </si>
  <si>
    <t>38-112</t>
  </si>
  <si>
    <t>45-112</t>
  </si>
  <si>
    <t>50-500</t>
  </si>
  <si>
    <t>4-6.5</t>
  </si>
  <si>
    <t>80-800</t>
  </si>
  <si>
    <t>1-3</t>
  </si>
  <si>
    <t>86c</t>
  </si>
  <si>
    <t>112-320</t>
  </si>
  <si>
    <t>120-300</t>
  </si>
  <si>
    <t>192-480</t>
  </si>
  <si>
    <t>5-6.3</t>
  </si>
  <si>
    <t>300-800</t>
  </si>
  <si>
    <t>480-1280</t>
  </si>
  <si>
    <t>46di</t>
  </si>
  <si>
    <t>Tamron</t>
  </si>
  <si>
    <t>A2</t>
  </si>
  <si>
    <t>11-18</t>
  </si>
  <si>
    <t>4,5-5.6</t>
  </si>
  <si>
    <t>18-29</t>
  </si>
  <si>
    <t>2.7-3.5</t>
  </si>
  <si>
    <t>28-75</t>
  </si>
  <si>
    <t>28-105</t>
  </si>
  <si>
    <t>70-210</t>
  </si>
  <si>
    <t>.03-04</t>
  </si>
  <si>
    <t>200-400</t>
  </si>
  <si>
    <t>200-500</t>
  </si>
  <si>
    <t>Tokina</t>
  </si>
  <si>
    <t>AT-X</t>
  </si>
  <si>
    <t>24-40</t>
  </si>
  <si>
    <t>2.6-2.8</t>
  </si>
  <si>
    <t>35-70</t>
  </si>
  <si>
    <t>Vivitar</t>
  </si>
  <si>
    <t>K</t>
  </si>
  <si>
    <t>M42</t>
  </si>
  <si>
    <t>Series 1 Solid Cat</t>
  </si>
  <si>
    <t>Pentax</t>
  </si>
  <si>
    <t>kev</t>
  </si>
  <si>
    <t>KA</t>
  </si>
  <si>
    <t>SMC Pentax 500/4.5 (ma)</t>
  </si>
  <si>
    <t>3.5</t>
  </si>
  <si>
    <t>4</t>
  </si>
  <si>
    <t>-</t>
  </si>
  <si>
    <t>4.5</t>
  </si>
  <si>
    <t>2.5</t>
  </si>
  <si>
    <t>b.i.</t>
  </si>
  <si>
    <t>Distagon T* 28/2</t>
  </si>
  <si>
    <t>Distagon T* 28/2.8</t>
  </si>
  <si>
    <t>Distagon T* 35/1.4</t>
  </si>
  <si>
    <t>Tessar T* 45/2.8</t>
  </si>
  <si>
    <t>Planar T* 50/1.4</t>
  </si>
  <si>
    <t>Planar T* 50/1.7</t>
  </si>
  <si>
    <t>Planar T* 85/1.4</t>
  </si>
  <si>
    <t>Planar T* 100/2</t>
  </si>
  <si>
    <t>Makro-Planar T* 100/2.8 [1:1]</t>
  </si>
  <si>
    <t>Flektogon [9;8] svbk [2]</t>
  </si>
  <si>
    <t>Flektogon [10;6] svbk</t>
  </si>
  <si>
    <t>Flektogon [6;6;6] bk</t>
  </si>
  <si>
    <t>MC bk</t>
  </si>
  <si>
    <t>Sonnar MC [5;3]</t>
  </si>
  <si>
    <t>Sonnar MC  [6;4]</t>
  </si>
  <si>
    <t>T</t>
  </si>
  <si>
    <t>LR</t>
  </si>
  <si>
    <t>Super Angulon R 21mm f/4</t>
  </si>
  <si>
    <t>Nikkor 15/3.5</t>
  </si>
  <si>
    <t>AIS</t>
  </si>
  <si>
    <t>Nikkor 18/3.5</t>
  </si>
  <si>
    <t>Nikkor 20/2.8</t>
  </si>
  <si>
    <t>Nikkor 85/1.4 AIS</t>
  </si>
  <si>
    <t>Nikkor 105/1.8 AIS</t>
  </si>
  <si>
    <t>rf</t>
  </si>
  <si>
    <t>Schneider</t>
  </si>
  <si>
    <t xml:space="preserve">Auto Yashinon </t>
  </si>
  <si>
    <t>Yashinon macro</t>
  </si>
  <si>
    <t>Voigtlander</t>
  </si>
  <si>
    <t>camQ</t>
  </si>
  <si>
    <t>Zenitar</t>
  </si>
  <si>
    <t>Extender EF 1.4x</t>
  </si>
  <si>
    <t>Extender EF 1.4x II</t>
  </si>
  <si>
    <t>Extender EF 2x</t>
  </si>
  <si>
    <t>Extender EF 2x II</t>
  </si>
  <si>
    <t>Comparison Page</t>
  </si>
  <si>
    <r>
      <t xml:space="preserve">filter diameter (mm), </t>
    </r>
    <r>
      <rPr>
        <b/>
        <sz val="10"/>
        <rFont val="Arial"/>
        <family val="2"/>
      </rPr>
      <t>rg</t>
    </r>
    <r>
      <rPr>
        <sz val="10"/>
        <rFont val="Arial"/>
        <family val="2"/>
      </rPr>
      <t xml:space="preserve"> = rear gel, </t>
    </r>
    <r>
      <rPr>
        <b/>
        <sz val="10"/>
        <rFont val="Arial"/>
        <family val="2"/>
      </rPr>
      <t xml:space="preserve">bi </t>
    </r>
    <r>
      <rPr>
        <sz val="10"/>
        <rFont val="Arial"/>
        <family val="2"/>
      </rPr>
      <t xml:space="preserve">= built in, </t>
    </r>
    <r>
      <rPr>
        <b/>
        <sz val="10"/>
        <rFont val="Arial"/>
        <family val="2"/>
      </rPr>
      <t xml:space="preserve">di </t>
    </r>
    <r>
      <rPr>
        <sz val="10"/>
        <rFont val="Arial"/>
        <family val="2"/>
      </rPr>
      <t xml:space="preserve"> = drop in</t>
    </r>
  </si>
  <si>
    <t>Distagon T* 25/2.8</t>
  </si>
  <si>
    <t>Sumilux-R 35/1.4</t>
  </si>
  <si>
    <t>Nikkor 35/1.4 AIS</t>
  </si>
  <si>
    <t>SMC Pentax "3.5 15mm"</t>
  </si>
  <si>
    <t>SMC Pentax "3.5/15" AL</t>
  </si>
  <si>
    <t>10-20</t>
  </si>
  <si>
    <t>16-32</t>
  </si>
  <si>
    <t>2.8</t>
  </si>
  <si>
    <t>AI</t>
  </si>
  <si>
    <t xml:space="preserve">Nikkor 200/2 AIS </t>
  </si>
  <si>
    <t>Canon EF Zoom</t>
  </si>
  <si>
    <t>Lens$db: Lens Price database</t>
  </si>
  <si>
    <t xml:space="preserve">EF 85/1.2 L II USM           </t>
  </si>
  <si>
    <t>vSonnar T* 28-85/3.3-4</t>
  </si>
  <si>
    <t>28-85</t>
  </si>
  <si>
    <t>3.3-4</t>
  </si>
  <si>
    <t>45-136</t>
  </si>
  <si>
    <t>Planar T* 135/2</t>
  </si>
  <si>
    <t>Planar T* 85/1.2</t>
  </si>
  <si>
    <t>35-135</t>
  </si>
  <si>
    <t>56-215</t>
  </si>
  <si>
    <t>vSonnar T* 80-200mm f/4</t>
  </si>
  <si>
    <t>56-112</t>
  </si>
  <si>
    <t>vSonnar T* 28-70/3.3-4</t>
  </si>
  <si>
    <t>vSonnar T* 70-210mm f/3.5</t>
  </si>
  <si>
    <t>112-336</t>
  </si>
  <si>
    <t>Tele-Tessar T* 200/3.5</t>
  </si>
  <si>
    <t>Sonnar T* 180/2.8</t>
  </si>
  <si>
    <t>Sonnar T* 85/2.8</t>
  </si>
  <si>
    <t>Tele-Tessar T* 200/4</t>
  </si>
  <si>
    <t>Sonnar T* 135/2.8</t>
  </si>
  <si>
    <t>Tele-Tessar T* 300/4</t>
  </si>
  <si>
    <t>Sonnar T* 100/3.5</t>
  </si>
  <si>
    <t>Aposonnar T* 200/2</t>
  </si>
  <si>
    <t>Distagon T* 15/3.5 [x]</t>
  </si>
  <si>
    <t>Distagon T* 18/4 [x]</t>
  </si>
  <si>
    <t>Super-Elmar-R 15/3,5 [x]</t>
  </si>
  <si>
    <t>SMC Pentax 18/3.5</t>
  </si>
  <si>
    <t>SMC Takumar 85/1.8</t>
  </si>
  <si>
    <t>SMC Takumar 135/2.5</t>
  </si>
  <si>
    <t>17-55</t>
  </si>
  <si>
    <t>27-88</t>
  </si>
  <si>
    <t>18-50</t>
  </si>
  <si>
    <t>29-80</t>
  </si>
  <si>
    <t>CY</t>
  </si>
  <si>
    <t>vSonnar T* 35-70/3.4</t>
  </si>
  <si>
    <t>EF 50/1.2 L USM</t>
  </si>
  <si>
    <t xml:space="preserve">EF 70-200/4 L IS USM           </t>
  </si>
  <si>
    <t>EX FE (180/22)</t>
  </si>
  <si>
    <t>EX ASP IF DG</t>
  </si>
  <si>
    <t>EX FE (180/44)</t>
  </si>
  <si>
    <t>EX Asp DG RF rl</t>
  </si>
  <si>
    <t>EX ASP DG DF rl</t>
  </si>
  <si>
    <t xml:space="preserve">EX </t>
  </si>
  <si>
    <t>EX DC HSM</t>
  </si>
  <si>
    <t>EX macro 1:1</t>
  </si>
  <si>
    <t>EX DG APO Macro IF 1:1</t>
  </si>
  <si>
    <t>EX APO Macro IF 1:1</t>
  </si>
  <si>
    <t>EX AF APO</t>
  </si>
  <si>
    <t>EX DG APO AF</t>
  </si>
  <si>
    <t>EX ASP DG rl</t>
  </si>
  <si>
    <t>EX DG</t>
  </si>
  <si>
    <t>EX ASP DF DG</t>
  </si>
  <si>
    <t>EX ASP EX DG</t>
  </si>
  <si>
    <t>EX APO</t>
  </si>
  <si>
    <t xml:space="preserve">EX APO </t>
  </si>
  <si>
    <t>EX APO IF HSM</t>
  </si>
  <si>
    <t xml:space="preserve">EX APO IF HSM </t>
  </si>
  <si>
    <t>SP AF Di Macro 1:1</t>
  </si>
  <si>
    <t>SP MF LD IF full set</t>
  </si>
  <si>
    <t>SP MF LD IF</t>
  </si>
  <si>
    <t>SP AF LD IF</t>
  </si>
  <si>
    <t>SP 400mm f/4 MF</t>
  </si>
  <si>
    <t>SP 11-18/4.5-5.6 Di II LD</t>
  </si>
  <si>
    <t>SP LD pp</t>
  </si>
  <si>
    <t>LD IF</t>
  </si>
  <si>
    <t>SP LD IF</t>
  </si>
  <si>
    <t>AT-X AF Pro</t>
  </si>
  <si>
    <t>AT-X AF PRO</t>
  </si>
  <si>
    <t>AT-X SD MF</t>
  </si>
  <si>
    <t>AT-X Pro 12-24/4 DG</t>
  </si>
  <si>
    <t>AT-X Pro 20-35/2.8</t>
  </si>
  <si>
    <t>AT-X &amp; AT-X Pro SV</t>
  </si>
  <si>
    <t>AT-X Pro AF</t>
  </si>
  <si>
    <t>AT-X &amp; AT-X Pro 828 AF</t>
  </si>
  <si>
    <t>Elmarit R 24/2.8</t>
  </si>
  <si>
    <t>Nikkor 200-400/4 *ED MF</t>
  </si>
  <si>
    <t>320-640</t>
  </si>
  <si>
    <t>.06-12</t>
  </si>
  <si>
    <t>Tomioka</t>
  </si>
  <si>
    <t xml:space="preserve">Distagon T* 35/2.8 </t>
  </si>
  <si>
    <t>Distagon T* 21/2.8</t>
  </si>
  <si>
    <t xml:space="preserve">vSonnar T* 35-135/3.3-4.5  </t>
  </si>
  <si>
    <t>vSonnar T* 100-300/4.5-5.6</t>
  </si>
  <si>
    <t xml:space="preserve">Summilux-R 80/1.4  </t>
  </si>
  <si>
    <t>17-85</t>
  </si>
  <si>
    <t>27-136</t>
  </si>
  <si>
    <t>SP 17-50/2.8 LD XR Di</t>
  </si>
  <si>
    <t>17-50</t>
  </si>
  <si>
    <t>27-80</t>
  </si>
  <si>
    <t>SP 180/2.5 LD IF MF</t>
  </si>
  <si>
    <t>SP AF 28-105/2.8 LD ASP</t>
  </si>
  <si>
    <t xml:space="preserve">Nikkor 135/2 AIS </t>
  </si>
  <si>
    <t>Olympus</t>
  </si>
  <si>
    <t>OM</t>
  </si>
  <si>
    <t>Zuiko Shift</t>
  </si>
  <si>
    <t>Zuiko (MC)</t>
  </si>
  <si>
    <t>G.Zuiko (SC)</t>
  </si>
  <si>
    <t>Zuiko Auto-W (fe)</t>
  </si>
  <si>
    <t xml:space="preserve">Canon: Tan Chung, www.tanchung.com/canon/canonlensesmain.htm     </t>
  </si>
  <si>
    <t>Canon: Reptile Garden Photography,  www.rgarden.glandrake.com/index.html</t>
  </si>
  <si>
    <t xml:space="preserve">Canon: Eric's Photos http://canid.com/canon_ef_lenses.html     </t>
  </si>
  <si>
    <t>Olympus: The Unofficial Olympus Sales Information File, http://vanveluwen.nl/eSIF/</t>
  </si>
  <si>
    <t>Contax Carl Zeiss www.zeiss.de and http://www.contaxusa.com/lenses.asp?itemnum=132000</t>
  </si>
  <si>
    <t>Contax etc. Leonard Foo, Photography in Malaysia http://mir.com.my/rb/photography/</t>
  </si>
  <si>
    <t xml:space="preserve">   additional information was taken from a variety of places, including:</t>
  </si>
  <si>
    <t xml:space="preserve">Pentax K: Boz Dimitriov Pentax K-Mount site http://www.bdimitrov.de/kmp/ </t>
  </si>
  <si>
    <t>Pentax Takumar M42: Ashai Optical Historical Society, www.aohc.it</t>
  </si>
  <si>
    <t>Nikon Lens Specifications by Roland Vink http://home19.inet.tele.dk/ne/nikon.htm</t>
  </si>
  <si>
    <t>Zuiko Auto-T</t>
  </si>
  <si>
    <t xml:space="preserve">PC Distagon T* 35/2.8 </t>
  </si>
  <si>
    <t>.07-01</t>
  </si>
  <si>
    <t>.07-02</t>
  </si>
  <si>
    <t xml:space="preserve">vSonnar T* 40-80/3.5 </t>
  </si>
  <si>
    <t>40-80</t>
  </si>
  <si>
    <t>64-128</t>
  </si>
  <si>
    <t>70co</t>
  </si>
  <si>
    <t>F-Distagon 16/2.8 fe</t>
  </si>
  <si>
    <t>co</t>
  </si>
  <si>
    <t xml:space="preserve">EF 16-35/2.8 L II USM          </t>
  </si>
  <si>
    <t xml:space="preserve">EF 400/4 DO IS USM  </t>
  </si>
  <si>
    <t>EF-S 60/2.8 Macro</t>
  </si>
  <si>
    <t>2100</t>
  </si>
  <si>
    <t>1430</t>
  </si>
  <si>
    <t>.07-05</t>
  </si>
  <si>
    <t>.07-07</t>
  </si>
  <si>
    <t xml:space="preserve">EF 15/2.8   (180/44)       </t>
  </si>
  <si>
    <t>Nikkor 28/4 PC AI</t>
  </si>
  <si>
    <t>.07-08</t>
  </si>
  <si>
    <t>SMC Pentax-A 20/2.8</t>
  </si>
  <si>
    <t>SMC Pentax 28/2.5 Shift</t>
  </si>
  <si>
    <t>SMC Pentax 50/1.2</t>
  </si>
  <si>
    <t>SMC Pentax-A 50/1.2</t>
  </si>
  <si>
    <t>SMC Pentax-A 50/1.4</t>
  </si>
  <si>
    <t>SMC Pentax 85/1.8</t>
  </si>
  <si>
    <t>SMC Pentax-A 100/2.8 macro</t>
  </si>
  <si>
    <t xml:space="preserve">SMC Pentax-A* 85/1.4 </t>
  </si>
  <si>
    <t>SMC Pentax-A* 135.1.8</t>
  </si>
  <si>
    <t>SMC Pentax 135/2.5</t>
  </si>
  <si>
    <t>SMC Pentax-M 135/3.5</t>
  </si>
  <si>
    <t>SMC Pentax 200/2.5</t>
  </si>
  <si>
    <t>SMC Pentax-A* ED 200/2.8</t>
  </si>
  <si>
    <t>SMC Pentax-A* ED 200/4 Macro</t>
  </si>
  <si>
    <t>SMC Pentax-A* ED 300/2.8 IF</t>
  </si>
  <si>
    <t>SMC Pentax-M* 300/4</t>
  </si>
  <si>
    <t>SMC Pentax-A* 300/4</t>
  </si>
  <si>
    <t>SMC Pentax-A* ED 400/2.8 IF</t>
  </si>
  <si>
    <t>SMC Pentax 1000/8 cat</t>
  </si>
  <si>
    <t>SMC Pentax-A* ED 1200/8 IF</t>
  </si>
  <si>
    <t>SMC Takumar 15/3.5</t>
  </si>
  <si>
    <t>Super-Takumar 20/4.5</t>
  </si>
  <si>
    <t>SMC Takumar 20/4.5</t>
  </si>
  <si>
    <t>SMC Takumar 500/4.5 ps</t>
  </si>
  <si>
    <t xml:space="preserve">All spreadsheet pages except for "compare" are 'protected' so that they can't be modified, but you can </t>
  </si>
  <si>
    <t>select an entire page and paste it to a new spreadsheet of your own without protection.  The compare page</t>
  </si>
  <si>
    <t>allows you to set up "=" relatioships with previous pages for easy comparison of items.</t>
  </si>
  <si>
    <t xml:space="preserve">EF 14/2.8 L II USM           </t>
  </si>
  <si>
    <t>M645</t>
  </si>
  <si>
    <t>Mamiya</t>
  </si>
  <si>
    <t>P645</t>
  </si>
  <si>
    <t>P6</t>
  </si>
  <si>
    <t>1.9</t>
  </si>
  <si>
    <t>B104</t>
  </si>
  <si>
    <t>Super-Angulon MF 55/4.5 PC</t>
  </si>
  <si>
    <t>Curtagon MF 40/4</t>
  </si>
  <si>
    <t>Xenotar MF 80/2.8</t>
  </si>
  <si>
    <t>.07-09</t>
  </si>
  <si>
    <t>43di</t>
  </si>
  <si>
    <t>PC-Super-Angulon 28/2.8 shift</t>
  </si>
  <si>
    <t>28</t>
  </si>
  <si>
    <t>39 di</t>
  </si>
  <si>
    <t>SMC Pentax-FA 645 35/3.5</t>
  </si>
  <si>
    <t>Fish-eye-Takumar FE 17/4</t>
  </si>
  <si>
    <t>400</t>
  </si>
  <si>
    <t xml:space="preserve">EF 200/2 L IS USM          </t>
  </si>
  <si>
    <t xml:space="preserve">EF 800/5.6 L IS USM   </t>
  </si>
  <si>
    <t>10-17</t>
  </si>
  <si>
    <t>16-27</t>
  </si>
  <si>
    <t>18-200</t>
  </si>
  <si>
    <t>29-320</t>
  </si>
  <si>
    <t>lev</t>
  </si>
  <si>
    <t>Nikkor 50/1.2 AIS</t>
  </si>
  <si>
    <t>AT-X Pro, Pro II</t>
  </si>
  <si>
    <t>Zuiko MC Auto-W</t>
  </si>
  <si>
    <t>.07-10</t>
  </si>
  <si>
    <r>
      <t xml:space="preserve">See </t>
    </r>
    <r>
      <rPr>
        <b/>
        <sz val="10"/>
        <rFont val="Arial"/>
        <family val="2"/>
      </rPr>
      <t>Lens$db.doc</t>
    </r>
    <r>
      <rPr>
        <sz val="10"/>
        <rFont val="Arial"/>
        <family val="2"/>
      </rPr>
      <t xml:space="preserve"> for who, when, where, why, and how; this database tells you what and how much.</t>
    </r>
  </si>
  <si>
    <t>f(1.6)</t>
  </si>
  <si>
    <t>equivalent focal length (mm) on a x1.6 crop factor body, e.g, Canon XTi, 400D, 30D, 40D</t>
  </si>
  <si>
    <t>EF is Canon AF, others are various manual focus mounts</t>
  </si>
  <si>
    <t>focal length (mm)</t>
  </si>
  <si>
    <t>minimum focus distance (m)</t>
  </si>
  <si>
    <t>weight of lens (kg), not including caps</t>
  </si>
  <si>
    <t xml:space="preserve">maximum diameter of lens (mm) </t>
  </si>
  <si>
    <t>minimum length of lens (mm), usually at infinity focus</t>
  </si>
  <si>
    <t>Zeiss Jena</t>
  </si>
  <si>
    <t>650</t>
  </si>
  <si>
    <t>.07-11</t>
  </si>
  <si>
    <t>AT-X 535 Pro DX</t>
  </si>
  <si>
    <t xml:space="preserve">EF 24-105/4 L IS USM          </t>
  </si>
  <si>
    <t>n/a</t>
  </si>
  <si>
    <t>EX DG macro 1:1</t>
  </si>
  <si>
    <t>.08-01</t>
  </si>
  <si>
    <t>.08-03</t>
  </si>
  <si>
    <t>.08-02</t>
  </si>
  <si>
    <t>RMC SL</t>
  </si>
  <si>
    <t>Nikkor 6/2.8 FE [220 deg]</t>
  </si>
  <si>
    <t>SP Di LD IF AF</t>
  </si>
  <si>
    <t xml:space="preserve">AT-X 10-17/3.5-4.5 DX FE </t>
  </si>
  <si>
    <t>EX APO IF</t>
  </si>
  <si>
    <t>160-480</t>
  </si>
  <si>
    <t>550</t>
  </si>
  <si>
    <t>.08-04</t>
  </si>
  <si>
    <t>F</t>
  </si>
  <si>
    <t>EX 30/1.4 DC HSM</t>
  </si>
  <si>
    <t>Nikkor 8/2.8 FE [220 deg]</t>
  </si>
  <si>
    <t>.08-05</t>
  </si>
  <si>
    <t>Planar T* 55/1.2</t>
  </si>
  <si>
    <t>SMC Pentax-A 15/3.5</t>
  </si>
  <si>
    <t>AT-X 24-40/2.8</t>
  </si>
  <si>
    <t>.08-06</t>
  </si>
  <si>
    <t>43.5di</t>
  </si>
  <si>
    <t>Mamiya-Sekor C 35/3.5 N</t>
  </si>
  <si>
    <t>Mamiya-Sekor C 45/2.8 N</t>
  </si>
  <si>
    <t>Mamiya-Sekor C 50/4 Shift</t>
  </si>
  <si>
    <t>Mamiya-Sekor C 55/2.8 N</t>
  </si>
  <si>
    <t>Mamiya-Sekor C 80/2.8 N</t>
  </si>
  <si>
    <t>Mamiya-Sekor C 80/4 N Macro</t>
  </si>
  <si>
    <t>Mamiya-Sekor C 150/3.5 N</t>
  </si>
  <si>
    <t>Mamiya-Sekor C 210/4 N</t>
  </si>
  <si>
    <t>Mamiya A 300/2.8 APO</t>
  </si>
  <si>
    <t>Mamiya A 200/2.8 APO</t>
  </si>
  <si>
    <t>Mamiya A 500/4.5 APO</t>
  </si>
  <si>
    <t>APO DG OS HSM</t>
  </si>
  <si>
    <t>150-500</t>
  </si>
  <si>
    <t>240-800</t>
  </si>
  <si>
    <t xml:space="preserve">Mamiya-Sekor C 80/1.9 </t>
  </si>
  <si>
    <t>EF-S 10-22/3.5-4.5 USM</t>
  </si>
  <si>
    <t>EF-S 17-55/2.8 IS USM</t>
  </si>
  <si>
    <t>EF-S 17-85/4-5.6 IS USM</t>
  </si>
  <si>
    <t>EF-S 55-250/4-5.6 IS</t>
  </si>
  <si>
    <t>55-250</t>
  </si>
  <si>
    <t>88-400</t>
  </si>
  <si>
    <t>EX 50/1.4 DG HSM</t>
  </si>
  <si>
    <t>.08-07</t>
  </si>
  <si>
    <t>EF-S 18-200/3.5-5.6 IS</t>
  </si>
  <si>
    <t>.08-08</t>
  </si>
  <si>
    <t>14-24</t>
  </si>
  <si>
    <t>22-38</t>
  </si>
  <si>
    <t>AF-S</t>
  </si>
  <si>
    <t xml:space="preserve">EF 24/1.4 L II USM           </t>
  </si>
  <si>
    <t>.08-09</t>
  </si>
  <si>
    <t>EF Extenders (teleconverters)</t>
  </si>
  <si>
    <t>x1.4</t>
  </si>
  <si>
    <t>x2</t>
  </si>
  <si>
    <t>Planar T* 85/1.4 ZE</t>
  </si>
  <si>
    <t>Distagon T* 21/2.8 ZE</t>
  </si>
  <si>
    <t>Planar T* 50/1.4 ZE</t>
  </si>
  <si>
    <t>.08-11</t>
  </si>
  <si>
    <t>Mamiya C ULD 105-210/4.5</t>
  </si>
  <si>
    <t>105-210</t>
  </si>
  <si>
    <t>55-110</t>
  </si>
  <si>
    <t>Zuiko Auto-S</t>
  </si>
  <si>
    <t>Noct-Nikkor Micro 58/1.2</t>
  </si>
  <si>
    <t>SP 20-40/2.7-3.5 ASP IF</t>
  </si>
  <si>
    <t>SP 28-75/2.8 XR Di AF</t>
  </si>
  <si>
    <t>.09-01</t>
  </si>
  <si>
    <t>Mamiya-Sekor C 24/4 ULD FE</t>
  </si>
  <si>
    <t>Mamiya-Sekor C 80/1.9 N</t>
  </si>
  <si>
    <t>MFD</t>
  </si>
  <si>
    <t xml:space="preserve">TS-E 17/4 L             </t>
  </si>
  <si>
    <t xml:space="preserve">TS-E 24/3.5 L II        </t>
  </si>
  <si>
    <t>EF 35/2</t>
  </si>
  <si>
    <t>.09-02</t>
  </si>
  <si>
    <t>450</t>
  </si>
  <si>
    <t>.09-03</t>
  </si>
  <si>
    <t>PC Super-Angulon 28/2.8 shift</t>
  </si>
  <si>
    <t>AT-X 11-16/2.8 Pro DX Asp</t>
  </si>
  <si>
    <t>11-16</t>
  </si>
  <si>
    <t>18-26</t>
  </si>
  <si>
    <t>449</t>
  </si>
  <si>
    <t>Nikkor 14-24/2.8 G ED AF</t>
  </si>
  <si>
    <t>320-800</t>
  </si>
  <si>
    <t>(23.2k)</t>
  </si>
  <si>
    <t>72di</t>
  </si>
  <si>
    <t>2,5</t>
  </si>
  <si>
    <t>.09-04</t>
  </si>
  <si>
    <t>Mamiya A 120/4 Macro M</t>
  </si>
  <si>
    <t>Mamiya-Sekor C 300/5.6 N</t>
  </si>
  <si>
    <t>Mamiya-Sekor C 500/5.6</t>
  </si>
  <si>
    <t xml:space="preserve">Mamiya A 150/2.8 </t>
  </si>
  <si>
    <t>.09-05</t>
  </si>
  <si>
    <t>mFT</t>
  </si>
  <si>
    <t>Leica</t>
  </si>
  <si>
    <t xml:space="preserve">20/3.5 Color Skopar Asp SL II </t>
  </si>
  <si>
    <t xml:space="preserve">35/2.8 Color Skoparex SL </t>
  </si>
  <si>
    <t xml:space="preserve">40/2 Ultron Asp SL II </t>
  </si>
  <si>
    <t xml:space="preserve">50/1.8 Color Ultron SL </t>
  </si>
  <si>
    <t xml:space="preserve">58/1.4 Nokton SL-II </t>
  </si>
  <si>
    <t xml:space="preserve">75/2.5 Color Heliar SL </t>
  </si>
  <si>
    <t>90/3.5 Apo-Lanthar CF SL</t>
  </si>
  <si>
    <t xml:space="preserve">180/4 Apo-Lanthar CF SL </t>
  </si>
  <si>
    <t>.09-07</t>
  </si>
  <si>
    <t>.09-06</t>
  </si>
  <si>
    <t>N</t>
  </si>
  <si>
    <t>Mamiya 645 Pro Teleconverter 2xN</t>
  </si>
  <si>
    <t>2x</t>
  </si>
  <si>
    <t>PA-Curtagon 35/4 Shift</t>
  </si>
  <si>
    <t>Planar T* 50/1.4 N</t>
  </si>
  <si>
    <t>Planar T* 85/1.4 N</t>
  </si>
  <si>
    <t>Makro-Sonnar T* 100/2.8</t>
  </si>
  <si>
    <t>vSonnar T* 17-35/2.8 N</t>
  </si>
  <si>
    <t>Tele-Apotessar T* 400/4 N</t>
  </si>
  <si>
    <t>d.i.</t>
  </si>
  <si>
    <t>Sonnar T* 180/2.8 MM</t>
  </si>
  <si>
    <t>Macro-Planar T* 60/2.8 C [1:2]</t>
  </si>
  <si>
    <t>Tele-Apotessar T* 300/2.8</t>
  </si>
  <si>
    <t>Tele-Apotessar T* 500/5.6</t>
  </si>
  <si>
    <t>Tele-Apotessar T* 800/8</t>
  </si>
  <si>
    <t>c.o.</t>
  </si>
  <si>
    <t>EX DG 20-40/2.8 ASP</t>
  </si>
  <si>
    <t>Mamiya C 55-110/4.5 N</t>
  </si>
  <si>
    <t>50-150</t>
  </si>
  <si>
    <t>80-240</t>
  </si>
  <si>
    <t>SMC Pentax-A 50/1.7</t>
  </si>
  <si>
    <t xml:space="preserve">Medium Format Lenses </t>
  </si>
  <si>
    <t>f (mm)</t>
  </si>
  <si>
    <t>40 - 60</t>
  </si>
  <si>
    <t>60 - 100</t>
  </si>
  <si>
    <t>100 - 210</t>
  </si>
  <si>
    <t>210 - 400</t>
  </si>
  <si>
    <t>Ultra-Wide (UW)</t>
  </si>
  <si>
    <t>Wide (W)</t>
  </si>
  <si>
    <t>Normal (N)</t>
  </si>
  <si>
    <t>Short Telephoto (ST)</t>
  </si>
  <si>
    <t>Medium Telephoto (MT)</t>
  </si>
  <si>
    <t>Long Telephoto (LT)</t>
  </si>
  <si>
    <t>L</t>
  </si>
  <si>
    <t>D</t>
  </si>
  <si>
    <t>Df</t>
  </si>
  <si>
    <t>Elmarit R Super-W 19/2.8 [x]</t>
  </si>
  <si>
    <t xml:space="preserve">Mamiya-Sekor C 80/2.8 </t>
  </si>
  <si>
    <t xml:space="preserve">EF 100/2.8 L IS Macro USM      </t>
  </si>
  <si>
    <t>EF-S 15-85/3.5-5.6 IS USM</t>
  </si>
  <si>
    <t>15-85</t>
  </si>
  <si>
    <t>24-135</t>
  </si>
  <si>
    <t>EF-S 18-135/3.5-5.6 IS USM</t>
  </si>
  <si>
    <t>18-135</t>
  </si>
  <si>
    <t>29-215</t>
  </si>
  <si>
    <t>29k</t>
  </si>
  <si>
    <t>Nikkor 35/2.8 PC n AI (bk knob)</t>
  </si>
  <si>
    <t>.09-08</t>
  </si>
  <si>
    <t>STT</t>
  </si>
  <si>
    <t>Sigma, Tamron, and Tokina</t>
  </si>
  <si>
    <t>CZ.V</t>
  </si>
  <si>
    <t>LNOP</t>
  </si>
  <si>
    <t>Leica-R (2- &amp; 3-cam, not ROM), Nikon AI/S, Olympus, Pentax, and a few more</t>
  </si>
  <si>
    <t>Mamiya 645 medium format lenses, plus a few more</t>
  </si>
  <si>
    <t>micro Four Thirds &amp; compatible., incl. Voigtlander LTM &amp; LM, Olympus Pen F, etc.</t>
  </si>
  <si>
    <t>SP 14/2.8 LD Asp IF</t>
  </si>
  <si>
    <t>Zenit 16/2.8 FE (180/44)</t>
  </si>
  <si>
    <t>S-Planar 100/4 (bellows)</t>
  </si>
  <si>
    <t>QBM</t>
  </si>
  <si>
    <t>SP Macro + 1:1 ext;</t>
  </si>
  <si>
    <t>SP MF Macro 1:1</t>
  </si>
  <si>
    <t>AT-X Macro 1:1</t>
  </si>
  <si>
    <t>344</t>
  </si>
  <si>
    <t>SMC Pentax-A 16/2.8 FE</t>
  </si>
  <si>
    <t xml:space="preserve">SMC Pentax 17/4 FE </t>
  </si>
  <si>
    <t>SMC Takumar FE 17/4</t>
  </si>
  <si>
    <t>Fish-eye-Takumar 18/11</t>
  </si>
  <si>
    <t>Distagon T* 18/3.5 ZE</t>
  </si>
  <si>
    <t>Carl Zeiss ZE, C/Y and N, plus Voigtlander and etc.</t>
  </si>
  <si>
    <t>Canon EF L series zoom lenses, plus a few others</t>
  </si>
  <si>
    <t>Canon EF prime lenses &amp; extenders</t>
  </si>
  <si>
    <t>Mamiya M645 manual focus</t>
  </si>
  <si>
    <t>Sigma EX autofocus</t>
  </si>
  <si>
    <t>Tamron SP manual and autofocus</t>
  </si>
  <si>
    <t>Tokina manual and autofocus</t>
  </si>
  <si>
    <t>Carl Zeiss Contax (Contax/Yashica, C/Y), manual focus</t>
  </si>
  <si>
    <t>Carl Zeiss Contax N autofocus</t>
  </si>
  <si>
    <t>Voigtlander 35mm manual focus</t>
  </si>
  <si>
    <t>Schneider-Kreuznach 35mm manual focus</t>
  </si>
  <si>
    <t>Others manual focus</t>
  </si>
  <si>
    <t>Pentax SMC K-mount  manual focus (cont.)</t>
  </si>
  <si>
    <t>Pentax SMC K-mount manual focus</t>
  </si>
  <si>
    <t>Olympus OM  manual focus</t>
  </si>
  <si>
    <t>Schneider-Kreusnach manual focus, for Pentacon 6</t>
  </si>
  <si>
    <t>Nikon AIS/ AI  manual focus</t>
  </si>
  <si>
    <t>Pentax Takumar &amp; SMC Takumar M42 manual focus</t>
  </si>
  <si>
    <t>Carl Zeiss ZE manual focus for Canon EOS</t>
  </si>
  <si>
    <t xml:space="preserve">Carl Zeiss Contax C/Y manual focus for (Contax/Yashica, </t>
  </si>
  <si>
    <t>1.6x</t>
  </si>
  <si>
    <t>.02-11</t>
  </si>
  <si>
    <t>225</t>
  </si>
  <si>
    <t>.04-02</t>
  </si>
  <si>
    <t>AT-X Macro 1:2 + 1:1 tube</t>
  </si>
  <si>
    <t>Nikkor 20/3.5</t>
  </si>
  <si>
    <t>Carl Zeiss Jena manual focus (no zebras)</t>
  </si>
  <si>
    <t>camtec</t>
  </si>
  <si>
    <t>400 - 800</t>
  </si>
  <si>
    <t>800+</t>
  </si>
  <si>
    <t>Extreme Telephoto (ET))</t>
  </si>
  <si>
    <t>Very Wide (VW)</t>
  </si>
  <si>
    <t>10 - 20</t>
  </si>
  <si>
    <t>20 - 28</t>
  </si>
  <si>
    <t>28 - 40</t>
  </si>
  <si>
    <t>Rollei 35/2.8 SL 35</t>
  </si>
  <si>
    <t>levine</t>
  </si>
  <si>
    <t>cohen</t>
  </si>
  <si>
    <t>tamkin</t>
  </si>
  <si>
    <t>.09-09</t>
  </si>
  <si>
    <t>82*</t>
  </si>
  <si>
    <t>* hood accepts filter</t>
  </si>
  <si>
    <t>Distagon T* 28/2 ZE</t>
  </si>
  <si>
    <t>Distagon T* 35/2 ZE</t>
  </si>
  <si>
    <t>Mamiya-Sekor C 110/2.8</t>
  </si>
  <si>
    <t>.09-10</t>
  </si>
  <si>
    <t>.09-11</t>
  </si>
  <si>
    <t>.04-06</t>
  </si>
  <si>
    <t>.04-01</t>
  </si>
  <si>
    <t>.04-08</t>
  </si>
  <si>
    <t>SMC Pentax 105/2.8</t>
  </si>
  <si>
    <t>Rokinon</t>
  </si>
  <si>
    <t>85/1.4 Aspherical IF</t>
  </si>
  <si>
    <t>Pentax 645</t>
  </si>
  <si>
    <t>SMC Pentax-A* 600/5.6  ED IF</t>
  </si>
  <si>
    <t>F*</t>
  </si>
  <si>
    <t>FA*</t>
  </si>
  <si>
    <t>SMC Pentax-F* 600/4 ED IF</t>
  </si>
  <si>
    <t>SMC Pentax-FA* 600/4 ED IF</t>
  </si>
  <si>
    <t>KAF2</t>
  </si>
  <si>
    <t>KAF</t>
  </si>
  <si>
    <t>SMC Pentax-A* 645 600/5.6 ED IF</t>
  </si>
  <si>
    <t>112-49</t>
  </si>
  <si>
    <t xml:space="preserve">122-39 </t>
  </si>
  <si>
    <t>49 di</t>
  </si>
  <si>
    <t>Mamiya A 300/2.8 APO + 2xN + adapter</t>
  </si>
  <si>
    <t>Leica **</t>
  </si>
  <si>
    <t>cameta</t>
  </si>
  <si>
    <t>Zuiko, H.Zuiko (MC)</t>
  </si>
  <si>
    <t>265</t>
  </si>
  <si>
    <t>Summicron-R 35/2  E55</t>
  </si>
  <si>
    <t>VII</t>
  </si>
  <si>
    <t>Elmarit R-35/2.8 III E55 h-bi</t>
  </si>
  <si>
    <t>Summilux-R 50/1.4 II h-bi</t>
  </si>
  <si>
    <t>VIII</t>
  </si>
  <si>
    <t>Fisheye-Elmarit-R</t>
  </si>
  <si>
    <t>Summicron-R 35/2 3cam</t>
  </si>
  <si>
    <t>Elmarit R-35/2.8 II h-lugs</t>
  </si>
  <si>
    <t>Macro-Elmarit-R 100/4</t>
  </si>
  <si>
    <t>kenmore</t>
  </si>
  <si>
    <t>bergen</t>
  </si>
  <si>
    <t>collect</t>
  </si>
  <si>
    <t>.09-12</t>
  </si>
  <si>
    <t>harry</t>
  </si>
  <si>
    <t>Apo-Summicron-R 180/2</t>
  </si>
  <si>
    <t>Apo-Elmarit-R 180/2.8</t>
  </si>
  <si>
    <t>Elmarit-R 180/2.8 II</t>
  </si>
  <si>
    <t xml:space="preserve">Elmar-R 180/4  </t>
  </si>
  <si>
    <t>Telyt-R 250/4</t>
  </si>
  <si>
    <t xml:space="preserve">Apo-Telyt-R 280/2.8  </t>
  </si>
  <si>
    <t>Macro-Elmarit-R 60/2.8 3-cam</t>
  </si>
  <si>
    <t>bklyn</t>
  </si>
  <si>
    <t>s8</t>
  </si>
  <si>
    <t>8elm</t>
  </si>
  <si>
    <t>mwc</t>
  </si>
  <si>
    <t>nationl</t>
  </si>
  <si>
    <t>Super-Telephoto (SST)</t>
  </si>
  <si>
    <t xml:space="preserve">Elmarit-R 135/2.8 </t>
  </si>
  <si>
    <t>.10-01</t>
  </si>
  <si>
    <t xml:space="preserve">macro Sekor 60/2.8 </t>
  </si>
  <si>
    <t>SMC Pentax 85/2.2 Soft</t>
  </si>
  <si>
    <t>Elmarit R 90/2.8 E55</t>
  </si>
  <si>
    <t>Summicron-R 50/2 E55</t>
  </si>
  <si>
    <t>17.4k</t>
  </si>
  <si>
    <t>Summicron-R 90/2 E55</t>
  </si>
  <si>
    <t>Apo-Telyt-R 180/3.4 E60</t>
  </si>
  <si>
    <t>SP 17-50/2.8 LD XR Di VC</t>
  </si>
  <si>
    <t>245</t>
  </si>
  <si>
    <t>national</t>
  </si>
  <si>
    <t>.10-02</t>
  </si>
  <si>
    <t>Data sources:</t>
  </si>
  <si>
    <t>Voigtlander SL, LTM, LM: CameraQuest http://cameraquest.com/inventor.htm</t>
  </si>
  <si>
    <t>Leica R: CameraQuest http://www.cameraquest.com</t>
  </si>
  <si>
    <t>Version 14</t>
  </si>
  <si>
    <t>SP 300/5.6 (54B)</t>
  </si>
  <si>
    <t>.06-01</t>
  </si>
  <si>
    <t>.04-10</t>
  </si>
  <si>
    <t>.05-12</t>
  </si>
  <si>
    <t>SP 17/35 [151B]</t>
  </si>
  <si>
    <t>SP 17/3.5 [51B] (bi filters)</t>
  </si>
  <si>
    <t>Zuiko Auto-S 55/1.2</t>
  </si>
  <si>
    <t>vSonnar T* 24-85 N</t>
  </si>
  <si>
    <t>24-85</t>
  </si>
  <si>
    <t>Kiron</t>
  </si>
  <si>
    <t>28/2 MC</t>
  </si>
  <si>
    <t>Apo-Summicron-R 90/2 ASP</t>
  </si>
  <si>
    <t>Zuiko MC</t>
  </si>
  <si>
    <t>Pancolar MC 80/1.8</t>
  </si>
  <si>
    <t>Elmarit-R 28/2.8  E55</t>
  </si>
  <si>
    <t>.10-03</t>
  </si>
  <si>
    <t>1500</t>
  </si>
  <si>
    <t>Distagon T* 25/2.8 ZS</t>
  </si>
  <si>
    <t>1120</t>
  </si>
  <si>
    <t xml:space="preserve">EF 70-200/2.8 L IS II USM         </t>
  </si>
  <si>
    <t>Nikkor-P Auto 105/2.5</t>
  </si>
  <si>
    <t>Nikkor ED 500/4 P</t>
  </si>
  <si>
    <t>Nikkor *ED 600/5.6  IF MF</t>
  </si>
  <si>
    <t>Nikkor *ED 600/4 IF MF</t>
  </si>
  <si>
    <t>Nikkor *ED 800/5.6 IF MF</t>
  </si>
  <si>
    <t>Nikkor *ED 400/3.5 IF MF</t>
  </si>
  <si>
    <t>Nikkor *ED 300/2 IF N</t>
  </si>
  <si>
    <t>Nikkor *ED 300/2.8 IF N</t>
  </si>
  <si>
    <t>Nikkor *ED 400/2.8 IF MF</t>
  </si>
  <si>
    <t xml:space="preserve">125/2.5 Apo-Lanthar Macro SL </t>
  </si>
  <si>
    <t>Elmarit-R 28/2.8  ROM</t>
  </si>
  <si>
    <t>.10-04</t>
  </si>
  <si>
    <r>
      <t>f.Zone</t>
    </r>
    <r>
      <rPr>
        <sz val="8"/>
        <rFont val="Arial"/>
        <family val="2"/>
      </rPr>
      <t xml:space="preserve">   © J Colwell 2010</t>
    </r>
  </si>
  <si>
    <t>Copyright © J.L. Colwell 2010, www.jcolwell.ca</t>
  </si>
  <si>
    <t>Macro-Planar T* 60/2.8 S [1:1]</t>
  </si>
  <si>
    <t>120k</t>
  </si>
  <si>
    <t>Elmarit R 24/2.8 ROM</t>
  </si>
  <si>
    <t>Sumilux-R 35/1.4 ROM</t>
  </si>
  <si>
    <t>Summicron-R 35/2  ROM</t>
  </si>
  <si>
    <t>Apo-Macro 100/2.8 ROM</t>
  </si>
  <si>
    <t>Leica-R manual focus 2-cam, 3-cam, ROM</t>
  </si>
  <si>
    <t>Apo-Telyt-R 280/4 ROM</t>
  </si>
  <si>
    <t>EF 200/1.8 L USM</t>
  </si>
  <si>
    <t>EF 300/4 L IS USM</t>
  </si>
  <si>
    <t>tamarkin</t>
  </si>
  <si>
    <t>.10-05</t>
  </si>
  <si>
    <t>.2010-06-01</t>
  </si>
  <si>
    <t xml:space="preserve">The Lens Price database, Lens$db, is copyright © J.L. Colwell 2010.  You may copy and freely distribute the database to others, but you may not charge or accept any fees, and you may not modify the database.  You may incorporate any information from Lens$db in other publications (online or otherwise), as long as you acknowledge the source.  I attempt to acknowledge all sources I have used (except for eBay sales), and I apologize to any sources I may have missed.  I am grateful to the many people who share photography information online.   I hope this is a useful contribution.  I try to be accurate but I'm sure there are errors and omissions - use this database at your own risk.      </t>
  </si>
  <si>
    <t>Makro-Planar T* 50/2 ZE</t>
  </si>
  <si>
    <t>Makro-Planar T* 100/2 ZE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</si>
</sst>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
    <numFmt numFmtId="173" formatCode="m/d"/>
    <numFmt numFmtId="174" formatCode="m/dd/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lt;=9999999]###\-####;###\-###\-####"/>
    <numFmt numFmtId="181" formatCode="#,##0_ ;\-#,##0\ "/>
    <numFmt numFmtId="182" formatCode="0.0000"/>
    <numFmt numFmtId="183" formatCode="&quot;$&quot;#,##0"/>
    <numFmt numFmtId="184" formatCode="&quot;$&quot;#,##0.00"/>
    <numFmt numFmtId="185" formatCode="&quot;$&quot;#,##0.0"/>
    <numFmt numFmtId="186" formatCode="#,##0.0"/>
    <numFmt numFmtId="187" formatCode="yyyy/mm"/>
    <numFmt numFmtId="188" formatCode="mmm/yyyy"/>
    <numFmt numFmtId="189" formatCode="0.000"/>
  </numFmts>
  <fonts count="11">
    <font>
      <sz val="10"/>
      <name val="Arial"/>
      <family val="0"/>
    </font>
    <font>
      <u val="single"/>
      <sz val="10"/>
      <color indexed="36"/>
      <name val="Arial"/>
      <family val="0"/>
    </font>
    <font>
      <u val="single"/>
      <sz val="10"/>
      <color indexed="12"/>
      <name val="Arial"/>
      <family val="0"/>
    </font>
    <font>
      <b/>
      <sz val="10"/>
      <name val="Arial"/>
      <family val="2"/>
    </font>
    <font>
      <sz val="10"/>
      <color indexed="8"/>
      <name val="Arial"/>
      <family val="2"/>
    </font>
    <font>
      <b/>
      <sz val="8"/>
      <name val="Arial"/>
      <family val="2"/>
    </font>
    <font>
      <sz val="8"/>
      <name val="Arial"/>
      <family val="2"/>
    </font>
    <font>
      <sz val="9"/>
      <name val="Arial"/>
      <family val="2"/>
    </font>
    <font>
      <sz val="8"/>
      <color indexed="8"/>
      <name val="Arial"/>
      <family val="2"/>
    </font>
    <font>
      <b/>
      <sz val="8"/>
      <color indexed="8"/>
      <name val="Arial"/>
      <family val="2"/>
    </font>
    <font>
      <sz val="7"/>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horizontal="left"/>
    </xf>
    <xf numFmtId="0" fontId="3" fillId="0" borderId="0" xfId="0" applyFont="1" applyBorder="1" applyAlignment="1">
      <alignment horizontal="left"/>
    </xf>
    <xf numFmtId="0" fontId="0" fillId="0" borderId="0" xfId="0" applyFont="1" applyBorder="1" applyAlignment="1">
      <alignment/>
    </xf>
    <xf numFmtId="1" fontId="3" fillId="0" borderId="0" xfId="0" applyNumberFormat="1" applyFont="1" applyBorder="1" applyAlignment="1">
      <alignment horizontal="left"/>
    </xf>
    <xf numFmtId="175" fontId="3" fillId="0" borderId="0" xfId="0" applyNumberFormat="1" applyFont="1" applyBorder="1" applyAlignment="1">
      <alignment horizontal="left"/>
    </xf>
    <xf numFmtId="2" fontId="3" fillId="0" borderId="0" xfId="0" applyNumberFormat="1" applyFont="1" applyBorder="1" applyAlignment="1">
      <alignment horizontal="left"/>
    </xf>
    <xf numFmtId="0" fontId="0" fillId="0" borderId="0" xfId="0" applyFont="1" applyBorder="1" applyAlignment="1">
      <alignment horizontal="left"/>
    </xf>
    <xf numFmtId="0" fontId="5" fillId="0" borderId="0" xfId="0" applyFont="1" applyAlignment="1">
      <alignment horizontal="left"/>
    </xf>
    <xf numFmtId="1" fontId="6"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horizontal="center"/>
    </xf>
    <xf numFmtId="49" fontId="6" fillId="0" borderId="0" xfId="0" applyNumberFormat="1" applyFont="1" applyAlignment="1">
      <alignment horizontal="center"/>
    </xf>
    <xf numFmtId="1" fontId="6" fillId="0" borderId="0" xfId="0" applyNumberFormat="1" applyFont="1" applyAlignment="1">
      <alignment horizontal="center"/>
    </xf>
    <xf numFmtId="1" fontId="6" fillId="0" borderId="0" xfId="0" applyNumberFormat="1" applyFont="1" applyBorder="1" applyAlignment="1">
      <alignment horizontal="center"/>
    </xf>
    <xf numFmtId="0" fontId="7" fillId="0" borderId="0" xfId="0"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lignment/>
    </xf>
    <xf numFmtId="0" fontId="5" fillId="0" borderId="0" xfId="0" applyFont="1" applyBorder="1" applyAlignment="1">
      <alignment horizontal="left"/>
    </xf>
    <xf numFmtId="0" fontId="5" fillId="0" borderId="1" xfId="0" applyFont="1" applyBorder="1" applyAlignment="1">
      <alignment/>
    </xf>
    <xf numFmtId="1" fontId="6" fillId="0" borderId="1" xfId="0" applyNumberFormat="1" applyFont="1" applyBorder="1" applyAlignment="1">
      <alignment/>
    </xf>
    <xf numFmtId="0" fontId="5" fillId="0" borderId="1" xfId="0" applyFont="1" applyBorder="1" applyAlignment="1">
      <alignment horizontal="center"/>
    </xf>
    <xf numFmtId="49" fontId="6" fillId="0" borderId="1" xfId="0" applyNumberFormat="1" applyFont="1" applyBorder="1" applyAlignment="1">
      <alignment horizontal="center"/>
    </xf>
    <xf numFmtId="1" fontId="6" fillId="0" borderId="2" xfId="0" applyNumberFormat="1" applyFont="1" applyBorder="1" applyAlignment="1">
      <alignment horizontal="center"/>
    </xf>
    <xf numFmtId="1" fontId="6" fillId="0" borderId="3" xfId="0" applyNumberFormat="1" applyFont="1" applyBorder="1" applyAlignment="1">
      <alignment horizontal="center"/>
    </xf>
    <xf numFmtId="1" fontId="6" fillId="0" borderId="1" xfId="0" applyNumberFormat="1" applyFont="1" applyBorder="1" applyAlignment="1">
      <alignment horizontal="center"/>
    </xf>
    <xf numFmtId="1" fontId="5" fillId="0" borderId="4" xfId="0" applyNumberFormat="1" applyFont="1" applyBorder="1" applyAlignment="1">
      <alignment horizontal="center"/>
    </xf>
    <xf numFmtId="1" fontId="6" fillId="0" borderId="5" xfId="0" applyNumberFormat="1" applyFont="1" applyBorder="1" applyAlignment="1">
      <alignment horizontal="center"/>
    </xf>
    <xf numFmtId="1" fontId="6" fillId="0" borderId="5" xfId="0" applyNumberFormat="1" applyFont="1" applyBorder="1" applyAlignment="1">
      <alignment horizontal="left"/>
    </xf>
    <xf numFmtId="1" fontId="6" fillId="0" borderId="6" xfId="0" applyNumberFormat="1" applyFont="1" applyBorder="1" applyAlignment="1">
      <alignment horizontal="center"/>
    </xf>
    <xf numFmtId="0" fontId="5" fillId="0" borderId="0" xfId="0" applyFont="1" applyBorder="1" applyAlignment="1">
      <alignment/>
    </xf>
    <xf numFmtId="0" fontId="6" fillId="0" borderId="7" xfId="0" applyFont="1" applyBorder="1" applyAlignment="1">
      <alignment horizontal="center"/>
    </xf>
    <xf numFmtId="1" fontId="6" fillId="0" borderId="8" xfId="0" applyNumberFormat="1" applyFont="1" applyBorder="1" applyAlignment="1">
      <alignment horizontal="center"/>
    </xf>
    <xf numFmtId="1" fontId="6" fillId="0" borderId="3" xfId="0" applyNumberFormat="1" applyFont="1" applyBorder="1" applyAlignment="1">
      <alignment horizontal="left"/>
    </xf>
    <xf numFmtId="1" fontId="6" fillId="0" borderId="9" xfId="0" applyNumberFormat="1" applyFont="1" applyBorder="1" applyAlignment="1">
      <alignment horizontal="center"/>
    </xf>
    <xf numFmtId="1" fontId="6" fillId="0" borderId="1" xfId="0" applyNumberFormat="1" applyFont="1" applyBorder="1" applyAlignment="1">
      <alignment horizontal="left"/>
    </xf>
    <xf numFmtId="1" fontId="6" fillId="0" borderId="4" xfId="0" applyNumberFormat="1" applyFont="1" applyBorder="1" applyAlignment="1">
      <alignment horizontal="center"/>
    </xf>
    <xf numFmtId="49" fontId="6" fillId="0" borderId="0" xfId="0" applyNumberFormat="1" applyFont="1" applyBorder="1" applyAlignment="1">
      <alignment horizontal="center"/>
    </xf>
    <xf numFmtId="0" fontId="6" fillId="0" borderId="0" xfId="0" applyFont="1" applyBorder="1" applyAlignment="1">
      <alignment/>
    </xf>
    <xf numFmtId="0" fontId="6" fillId="0" borderId="1" xfId="0" applyFont="1" applyBorder="1" applyAlignment="1">
      <alignment/>
    </xf>
    <xf numFmtId="0" fontId="6" fillId="0" borderId="8" xfId="0" applyFont="1" applyBorder="1" applyAlignment="1">
      <alignment horizontal="center"/>
    </xf>
    <xf numFmtId="1" fontId="6" fillId="0" borderId="10" xfId="0" applyNumberFormat="1" applyFont="1" applyBorder="1" applyAlignment="1">
      <alignment horizontal="center"/>
    </xf>
    <xf numFmtId="0" fontId="6" fillId="0" borderId="1"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xf>
    <xf numFmtId="175" fontId="6" fillId="0" borderId="0" xfId="0" applyNumberFormat="1" applyFont="1" applyBorder="1" applyAlignment="1">
      <alignment horizontal="center"/>
    </xf>
    <xf numFmtId="1" fontId="5" fillId="0" borderId="0" xfId="0" applyNumberFormat="1" applyFont="1" applyBorder="1" applyAlignment="1">
      <alignment/>
    </xf>
    <xf numFmtId="1" fontId="5" fillId="0" borderId="0" xfId="0" applyNumberFormat="1" applyFont="1" applyBorder="1" applyAlignment="1">
      <alignment horizontal="left"/>
    </xf>
    <xf numFmtId="1" fontId="6" fillId="0" borderId="0" xfId="0" applyNumberFormat="1" applyFont="1" applyBorder="1" applyAlignment="1">
      <alignment horizontal="left"/>
    </xf>
    <xf numFmtId="175" fontId="6" fillId="0" borderId="0" xfId="0" applyNumberFormat="1" applyFont="1" applyAlignment="1">
      <alignment horizontal="center"/>
    </xf>
    <xf numFmtId="1" fontId="5" fillId="0" borderId="1" xfId="0" applyNumberFormat="1" applyFont="1" applyBorder="1" applyAlignment="1">
      <alignment/>
    </xf>
    <xf numFmtId="172" fontId="6" fillId="0" borderId="1" xfId="0" applyNumberFormat="1" applyFont="1" applyBorder="1" applyAlignment="1">
      <alignment horizontal="center"/>
    </xf>
    <xf numFmtId="1" fontId="5" fillId="0" borderId="4" xfId="0" applyNumberFormat="1" applyFont="1" applyBorder="1" applyAlignment="1">
      <alignment/>
    </xf>
    <xf numFmtId="175" fontId="6" fillId="0" borderId="10" xfId="0" applyNumberFormat="1" applyFont="1" applyBorder="1" applyAlignment="1">
      <alignment horizontal="center"/>
    </xf>
    <xf numFmtId="2" fontId="6" fillId="0" borderId="0" xfId="0" applyNumberFormat="1" applyFont="1" applyBorder="1" applyAlignment="1">
      <alignment horizontal="center"/>
    </xf>
    <xf numFmtId="1" fontId="6" fillId="0" borderId="11" xfId="0" applyNumberFormat="1" applyFont="1" applyBorder="1" applyAlignment="1">
      <alignment/>
    </xf>
    <xf numFmtId="1" fontId="6" fillId="0" borderId="4" xfId="0" applyNumberFormat="1" applyFont="1" applyBorder="1" applyAlignment="1">
      <alignment/>
    </xf>
    <xf numFmtId="175" fontId="6" fillId="0" borderId="3" xfId="0" applyNumberFormat="1" applyFont="1" applyBorder="1" applyAlignment="1">
      <alignment horizontal="center"/>
    </xf>
    <xf numFmtId="2" fontId="6" fillId="0" borderId="1" xfId="0" applyNumberFormat="1" applyFont="1" applyBorder="1" applyAlignment="1">
      <alignment horizontal="center"/>
    </xf>
    <xf numFmtId="0" fontId="6" fillId="0" borderId="0" xfId="0" applyFont="1" applyBorder="1" applyAlignment="1">
      <alignment horizontal="left"/>
    </xf>
    <xf numFmtId="175" fontId="6" fillId="0" borderId="2" xfId="0" applyNumberFormat="1" applyFont="1" applyBorder="1" applyAlignment="1">
      <alignment horizontal="center"/>
    </xf>
    <xf numFmtId="0" fontId="6" fillId="0" borderId="1" xfId="0" applyFont="1" applyBorder="1" applyAlignment="1">
      <alignment horizontal="left"/>
    </xf>
    <xf numFmtId="1" fontId="6" fillId="0" borderId="0" xfId="0" applyNumberFormat="1" applyFont="1" applyAlignment="1">
      <alignment/>
    </xf>
    <xf numFmtId="175" fontId="5" fillId="0" borderId="0" xfId="0" applyNumberFormat="1" applyFont="1" applyBorder="1" applyAlignment="1">
      <alignment/>
    </xf>
    <xf numFmtId="175" fontId="6" fillId="0" borderId="1" xfId="0" applyNumberFormat="1" applyFont="1" applyBorder="1" applyAlignment="1">
      <alignment horizontal="center"/>
    </xf>
    <xf numFmtId="49" fontId="6" fillId="0" borderId="0" xfId="0" applyNumberFormat="1" applyFont="1" applyBorder="1" applyAlignment="1">
      <alignment/>
    </xf>
    <xf numFmtId="49" fontId="6" fillId="0" borderId="1" xfId="0" applyNumberFormat="1" applyFont="1" applyBorder="1" applyAlignment="1">
      <alignment/>
    </xf>
    <xf numFmtId="0" fontId="6" fillId="0" borderId="12" xfId="0" applyFont="1" applyBorder="1" applyAlignment="1">
      <alignment horizontal="center"/>
    </xf>
    <xf numFmtId="0" fontId="6" fillId="0" borderId="13" xfId="0" applyFont="1" applyBorder="1" applyAlignment="1">
      <alignment horizontal="center"/>
    </xf>
    <xf numFmtId="1" fontId="5" fillId="0" borderId="2" xfId="0" applyNumberFormat="1" applyFont="1" applyBorder="1" applyAlignment="1">
      <alignment horizontal="center"/>
    </xf>
    <xf numFmtId="0" fontId="6" fillId="0" borderId="5" xfId="0" applyFont="1" applyBorder="1" applyAlignment="1">
      <alignment horizontal="left"/>
    </xf>
    <xf numFmtId="0" fontId="6" fillId="0" borderId="5" xfId="0" applyFont="1" applyBorder="1" applyAlignment="1">
      <alignment/>
    </xf>
    <xf numFmtId="0" fontId="6" fillId="0" borderId="5" xfId="0" applyFont="1" applyBorder="1" applyAlignment="1">
      <alignment horizontal="center"/>
    </xf>
    <xf numFmtId="175" fontId="6" fillId="0" borderId="5" xfId="0" applyNumberFormat="1" applyFont="1" applyBorder="1" applyAlignment="1">
      <alignment horizontal="center"/>
    </xf>
    <xf numFmtId="2" fontId="6" fillId="0" borderId="5" xfId="0" applyNumberFormat="1" applyFont="1" applyBorder="1" applyAlignment="1">
      <alignment horizontal="center"/>
    </xf>
    <xf numFmtId="49" fontId="6" fillId="0" borderId="5" xfId="0" applyNumberFormat="1" applyFont="1" applyBorder="1" applyAlignment="1">
      <alignment horizontal="center"/>
    </xf>
    <xf numFmtId="49" fontId="6" fillId="0" borderId="8" xfId="0" applyNumberFormat="1" applyFont="1" applyBorder="1" applyAlignment="1">
      <alignment horizontal="center"/>
    </xf>
    <xf numFmtId="2" fontId="6" fillId="0" borderId="0" xfId="0" applyNumberFormat="1" applyFont="1" applyAlignment="1">
      <alignment horizontal="center"/>
    </xf>
    <xf numFmtId="0" fontId="6" fillId="0" borderId="0" xfId="0" applyFont="1" applyAlignment="1">
      <alignment horizontal="left"/>
    </xf>
    <xf numFmtId="175" fontId="5" fillId="0" borderId="1" xfId="0" applyNumberFormat="1" applyFont="1" applyBorder="1" applyAlignment="1">
      <alignment/>
    </xf>
    <xf numFmtId="172" fontId="6" fillId="0" borderId="1" xfId="0" applyNumberFormat="1" applyFont="1" applyBorder="1" applyAlignment="1">
      <alignment horizontal="left"/>
    </xf>
    <xf numFmtId="0" fontId="5" fillId="0" borderId="4" xfId="0" applyFont="1" applyBorder="1" applyAlignment="1">
      <alignment/>
    </xf>
    <xf numFmtId="2" fontId="6" fillId="0" borderId="2" xfId="0" applyNumberFormat="1" applyFont="1" applyBorder="1" applyAlignment="1">
      <alignment horizontal="center"/>
    </xf>
    <xf numFmtId="2" fontId="6" fillId="0" borderId="3" xfId="0" applyNumberFormat="1" applyFont="1" applyBorder="1" applyAlignment="1">
      <alignment horizontal="center"/>
    </xf>
    <xf numFmtId="0" fontId="6" fillId="0" borderId="2" xfId="0" applyFont="1" applyBorder="1" applyAlignment="1">
      <alignment horizontal="center"/>
    </xf>
    <xf numFmtId="49" fontId="6" fillId="0" borderId="2" xfId="0" applyNumberFormat="1" applyFont="1" applyBorder="1" applyAlignment="1">
      <alignment horizontal="center"/>
    </xf>
    <xf numFmtId="1" fontId="5" fillId="0" borderId="3" xfId="0" applyNumberFormat="1" applyFont="1" applyBorder="1" applyAlignment="1">
      <alignment horizontal="center"/>
    </xf>
    <xf numFmtId="1" fontId="6" fillId="0" borderId="7" xfId="0" applyNumberFormat="1" applyFont="1" applyBorder="1" applyAlignment="1">
      <alignment horizontal="center"/>
    </xf>
    <xf numFmtId="0" fontId="5" fillId="0" borderId="2" xfId="0" applyFont="1" applyBorder="1" applyAlignment="1">
      <alignment horizontal="center"/>
    </xf>
    <xf numFmtId="0" fontId="6" fillId="0" borderId="12" xfId="0" applyNumberFormat="1" applyFont="1" applyBorder="1" applyAlignment="1">
      <alignment horizontal="center"/>
    </xf>
    <xf numFmtId="2" fontId="6" fillId="0" borderId="13" xfId="0" applyNumberFormat="1" applyFont="1" applyBorder="1" applyAlignment="1">
      <alignment horizontal="center"/>
    </xf>
    <xf numFmtId="2" fontId="6" fillId="0" borderId="12" xfId="0" applyNumberFormat="1" applyFont="1" applyBorder="1" applyAlignment="1">
      <alignment horizontal="center"/>
    </xf>
    <xf numFmtId="0" fontId="8" fillId="0" borderId="0" xfId="0" applyFont="1" applyBorder="1" applyAlignment="1">
      <alignment horizontal="left"/>
    </xf>
    <xf numFmtId="16" fontId="6" fillId="0" borderId="0" xfId="0" applyNumberFormat="1" applyFont="1" applyBorder="1" applyAlignment="1">
      <alignment horizontal="left"/>
    </xf>
    <xf numFmtId="0" fontId="9" fillId="0" borderId="1" xfId="0" applyFont="1" applyBorder="1" applyAlignment="1">
      <alignment/>
    </xf>
    <xf numFmtId="0" fontId="8" fillId="0" borderId="1" xfId="0" applyFont="1" applyBorder="1" applyAlignment="1">
      <alignment/>
    </xf>
    <xf numFmtId="0" fontId="6" fillId="0" borderId="10" xfId="0" applyFont="1" applyBorder="1" applyAlignment="1">
      <alignment horizontal="center"/>
    </xf>
    <xf numFmtId="1" fontId="6" fillId="0" borderId="14" xfId="0" applyNumberFormat="1" applyFont="1" applyBorder="1" applyAlignment="1">
      <alignment horizontal="center"/>
    </xf>
    <xf numFmtId="0" fontId="6" fillId="0" borderId="0" xfId="0" applyFont="1" applyBorder="1" applyAlignment="1" applyProtection="1">
      <alignment horizontal="left"/>
      <protection locked="0"/>
    </xf>
    <xf numFmtId="1" fontId="6" fillId="0" borderId="0" xfId="0" applyNumberFormat="1" applyFont="1" applyBorder="1" applyAlignment="1" applyProtection="1">
      <alignment horizontal="center"/>
      <protection locked="0"/>
    </xf>
    <xf numFmtId="2" fontId="6" fillId="0" borderId="2" xfId="0" applyNumberFormat="1" applyFont="1" applyBorder="1" applyAlignment="1" applyProtection="1">
      <alignment horizontal="center"/>
      <protection locked="0"/>
    </xf>
    <xf numFmtId="175" fontId="6" fillId="0" borderId="2" xfId="0" applyNumberFormat="1" applyFont="1" applyBorder="1" applyAlignment="1" applyProtection="1">
      <alignment horizontal="center"/>
      <protection locked="0"/>
    </xf>
    <xf numFmtId="2" fontId="6" fillId="0" borderId="0" xfId="0" applyNumberFormat="1" applyFont="1" applyBorder="1" applyAlignment="1" applyProtection="1">
      <alignment horizontal="center"/>
      <protection locked="0"/>
    </xf>
    <xf numFmtId="1" fontId="6" fillId="0" borderId="8" xfId="0" applyNumberFormat="1" applyFont="1" applyBorder="1" applyAlignment="1" applyProtection="1">
      <alignment horizontal="center"/>
      <protection locked="0"/>
    </xf>
    <xf numFmtId="1" fontId="6" fillId="0" borderId="2" xfId="0" applyNumberFormat="1" applyFont="1" applyBorder="1" applyAlignment="1" applyProtection="1">
      <alignment horizontal="center"/>
      <protection locked="0"/>
    </xf>
    <xf numFmtId="175" fontId="6" fillId="0" borderId="0" xfId="0" applyNumberFormat="1" applyFont="1" applyBorder="1" applyAlignment="1" applyProtection="1">
      <alignment horizontal="center"/>
      <protection locked="0"/>
    </xf>
    <xf numFmtId="1" fontId="6" fillId="0" borderId="0" xfId="0" applyNumberFormat="1" applyFont="1" applyAlignment="1" applyProtection="1">
      <alignment horizontal="center"/>
      <protection locked="0"/>
    </xf>
    <xf numFmtId="1" fontId="5" fillId="0" borderId="2"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 fontId="6" fillId="0" borderId="1" xfId="0" applyNumberFormat="1" applyFont="1" applyBorder="1" applyAlignment="1" applyProtection="1">
      <alignment horizontal="center"/>
      <protection locked="0"/>
    </xf>
    <xf numFmtId="175" fontId="6" fillId="0" borderId="1" xfId="0" applyNumberFormat="1" applyFont="1" applyBorder="1" applyAlignment="1" applyProtection="1">
      <alignment horizontal="center"/>
      <protection locked="0"/>
    </xf>
    <xf numFmtId="2" fontId="6" fillId="0" borderId="3" xfId="0" applyNumberFormat="1" applyFont="1" applyBorder="1" applyAlignment="1" applyProtection="1">
      <alignment horizontal="center"/>
      <protection locked="0"/>
    </xf>
    <xf numFmtId="175" fontId="6" fillId="0" borderId="3" xfId="0" applyNumberFormat="1" applyFont="1" applyBorder="1" applyAlignment="1" applyProtection="1">
      <alignment horizontal="center"/>
      <protection locked="0"/>
    </xf>
    <xf numFmtId="2" fontId="6" fillId="0" borderId="1" xfId="0" applyNumberFormat="1" applyFont="1" applyBorder="1" applyAlignment="1" applyProtection="1">
      <alignment horizontal="center"/>
      <protection locked="0"/>
    </xf>
    <xf numFmtId="1" fontId="6" fillId="0" borderId="9" xfId="0" applyNumberFormat="1"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0" xfId="0" applyFont="1" applyBorder="1" applyAlignment="1" applyProtection="1">
      <alignment horizontal="center"/>
      <protection locked="0"/>
    </xf>
    <xf numFmtId="1" fontId="6" fillId="0" borderId="3" xfId="0" applyNumberFormat="1" applyFont="1" applyBorder="1" applyAlignment="1" applyProtection="1">
      <alignment horizontal="center"/>
      <protection locked="0"/>
    </xf>
    <xf numFmtId="49" fontId="6" fillId="0" borderId="0" xfId="0" applyNumberFormat="1" applyFont="1" applyBorder="1" applyAlignment="1" applyProtection="1">
      <alignment horizontal="center"/>
      <protection locked="0"/>
    </xf>
    <xf numFmtId="49" fontId="6" fillId="0" borderId="2" xfId="0" applyNumberFormat="1" applyFont="1" applyBorder="1" applyAlignment="1" applyProtection="1">
      <alignment horizontal="center"/>
      <protection locked="0"/>
    </xf>
    <xf numFmtId="1" fontId="5" fillId="0" borderId="3" xfId="0" applyNumberFormat="1" applyFont="1" applyBorder="1" applyAlignment="1" applyProtection="1">
      <alignment horizontal="center"/>
      <protection locked="0"/>
    </xf>
    <xf numFmtId="49" fontId="6" fillId="0" borderId="0" xfId="0" applyNumberFormat="1" applyFont="1" applyBorder="1" applyAlignment="1" applyProtection="1">
      <alignment horizontal="left"/>
      <protection locked="0"/>
    </xf>
    <xf numFmtId="49" fontId="6" fillId="0" borderId="8" xfId="0" applyNumberFormat="1" applyFont="1" applyBorder="1" applyAlignment="1" applyProtection="1">
      <alignment horizontal="center"/>
      <protection locked="0"/>
    </xf>
    <xf numFmtId="2" fontId="6" fillId="0" borderId="8" xfId="0" applyNumberFormat="1" applyFont="1" applyBorder="1" applyAlignment="1" applyProtection="1">
      <alignment horizontal="center"/>
      <protection locked="0"/>
    </xf>
    <xf numFmtId="49" fontId="6" fillId="0" borderId="0" xfId="0" applyNumberFormat="1" applyFont="1" applyBorder="1" applyAlignment="1">
      <alignment horizontal="left"/>
    </xf>
    <xf numFmtId="2" fontId="6" fillId="0" borderId="13" xfId="0" applyNumberFormat="1" applyFont="1" applyBorder="1" applyAlignment="1" applyProtection="1">
      <alignment horizontal="center"/>
      <protection locked="0"/>
    </xf>
    <xf numFmtId="49" fontId="6" fillId="0" borderId="14" xfId="0" applyNumberFormat="1" applyFont="1" applyBorder="1" applyAlignment="1">
      <alignment horizontal="center"/>
    </xf>
    <xf numFmtId="0" fontId="6" fillId="0" borderId="15" xfId="0" applyFont="1" applyBorder="1" applyAlignment="1">
      <alignment/>
    </xf>
    <xf numFmtId="0" fontId="6" fillId="0" borderId="10" xfId="0" applyFont="1" applyBorder="1" applyAlignment="1">
      <alignment/>
    </xf>
    <xf numFmtId="1" fontId="6" fillId="0" borderId="10" xfId="0" applyNumberFormat="1" applyFont="1" applyBorder="1" applyAlignment="1" applyProtection="1">
      <alignment horizontal="center"/>
      <protection locked="0"/>
    </xf>
    <xf numFmtId="1" fontId="6" fillId="0" borderId="14" xfId="0" applyNumberFormat="1" applyFont="1" applyBorder="1" applyAlignment="1" applyProtection="1">
      <alignment horizontal="center"/>
      <protection locked="0"/>
    </xf>
    <xf numFmtId="1" fontId="6" fillId="0" borderId="7" xfId="0" applyNumberFormat="1"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49" fontId="5" fillId="0" borderId="2" xfId="0" applyNumberFormat="1" applyFont="1" applyBorder="1" applyAlignment="1">
      <alignment horizontal="center"/>
    </xf>
    <xf numFmtId="0" fontId="5" fillId="0" borderId="0" xfId="0" applyFont="1" applyAlignment="1">
      <alignment/>
    </xf>
    <xf numFmtId="0" fontId="6" fillId="2" borderId="0" xfId="0" applyFont="1" applyFill="1" applyAlignment="1">
      <alignment/>
    </xf>
    <xf numFmtId="49" fontId="6" fillId="0" borderId="13" xfId="0" applyNumberFormat="1" applyFont="1" applyBorder="1" applyAlignment="1">
      <alignment horizontal="center"/>
    </xf>
    <xf numFmtId="49" fontId="6" fillId="0" borderId="12" xfId="0" applyNumberFormat="1" applyFont="1" applyBorder="1" applyAlignment="1">
      <alignment horizontal="center"/>
    </xf>
    <xf numFmtId="16" fontId="6" fillId="0" borderId="8" xfId="0" applyNumberFormat="1" applyFont="1" applyBorder="1" applyAlignment="1">
      <alignment horizontal="center"/>
    </xf>
    <xf numFmtId="0" fontId="5" fillId="0" borderId="5" xfId="0" applyFont="1" applyBorder="1" applyAlignment="1">
      <alignment/>
    </xf>
    <xf numFmtId="0" fontId="6" fillId="0" borderId="15" xfId="0" applyFont="1" applyBorder="1" applyAlignment="1">
      <alignment horizontal="center"/>
    </xf>
    <xf numFmtId="0" fontId="0" fillId="0" borderId="0" xfId="0" applyAlignment="1">
      <alignment horizontal="right"/>
    </xf>
    <xf numFmtId="0" fontId="0" fillId="2" borderId="0" xfId="0" applyFont="1" applyFill="1" applyBorder="1" applyAlignment="1">
      <alignment horizontal="left"/>
    </xf>
    <xf numFmtId="0" fontId="0" fillId="2" borderId="0" xfId="0" applyFont="1" applyFill="1" applyBorder="1" applyAlignment="1">
      <alignment/>
    </xf>
    <xf numFmtId="0" fontId="0" fillId="2" borderId="1" xfId="0" applyFont="1" applyFill="1" applyBorder="1" applyAlignment="1">
      <alignment horizontal="center"/>
    </xf>
    <xf numFmtId="0" fontId="0" fillId="2" borderId="1" xfId="0" applyFont="1" applyFill="1" applyBorder="1" applyAlignment="1">
      <alignment/>
    </xf>
    <xf numFmtId="0" fontId="0" fillId="2" borderId="0" xfId="0" applyFill="1" applyAlignment="1">
      <alignment/>
    </xf>
    <xf numFmtId="49" fontId="0" fillId="2" borderId="0" xfId="0" applyNumberFormat="1" applyFill="1" applyAlignment="1">
      <alignment horizontal="center"/>
    </xf>
    <xf numFmtId="0" fontId="0" fillId="2" borderId="0" xfId="0" applyFill="1" applyAlignment="1">
      <alignment horizontal="center"/>
    </xf>
    <xf numFmtId="0" fontId="0" fillId="2" borderId="0" xfId="0" applyFont="1" applyFill="1" applyBorder="1" applyAlignment="1">
      <alignment horizontal="center"/>
    </xf>
    <xf numFmtId="49" fontId="6" fillId="0" borderId="9" xfId="0" applyNumberFormat="1" applyFont="1" applyBorder="1" applyAlignment="1">
      <alignment horizontal="center"/>
    </xf>
    <xf numFmtId="183" fontId="6" fillId="0" borderId="0" xfId="0" applyNumberFormat="1" applyFont="1" applyAlignment="1">
      <alignment horizontal="center"/>
    </xf>
    <xf numFmtId="1" fontId="10" fillId="0" borderId="9" xfId="0" applyNumberFormat="1" applyFont="1" applyBorder="1" applyAlignment="1">
      <alignment horizontal="center"/>
    </xf>
    <xf numFmtId="1" fontId="6" fillId="0" borderId="6" xfId="0" applyNumberFormat="1" applyFont="1" applyBorder="1" applyAlignment="1">
      <alignment horizontal="left"/>
    </xf>
    <xf numFmtId="1" fontId="5" fillId="0" borderId="1" xfId="0" applyNumberFormat="1" applyFont="1" applyBorder="1" applyAlignment="1">
      <alignment horizontal="center"/>
    </xf>
    <xf numFmtId="1" fontId="8" fillId="0" borderId="4" xfId="0" applyNumberFormat="1" applyFont="1" applyBorder="1" applyAlignment="1">
      <alignment horizontal="center"/>
    </xf>
    <xf numFmtId="0" fontId="8" fillId="0" borderId="5" xfId="0" applyFont="1" applyBorder="1" applyAlignment="1">
      <alignment horizontal="center"/>
    </xf>
    <xf numFmtId="1" fontId="8" fillId="0" borderId="5" xfId="0" applyNumberFormat="1" applyFont="1" applyBorder="1" applyAlignment="1">
      <alignment horizontal="center"/>
    </xf>
    <xf numFmtId="0" fontId="8" fillId="0" borderId="6" xfId="0" applyFont="1" applyBorder="1" applyAlignment="1">
      <alignment horizontal="center"/>
    </xf>
    <xf numFmtId="1" fontId="6" fillId="0" borderId="5" xfId="0" applyNumberFormat="1" applyFont="1" applyBorder="1" applyAlignment="1">
      <alignment/>
    </xf>
    <xf numFmtId="175" fontId="5" fillId="0" borderId="0" xfId="0" applyNumberFormat="1" applyFont="1" applyBorder="1" applyAlignment="1">
      <alignment horizontal="left"/>
    </xf>
    <xf numFmtId="172" fontId="6" fillId="0" borderId="9" xfId="0" applyNumberFormat="1" applyFont="1" applyBorder="1" applyAlignment="1">
      <alignment horizontal="center"/>
    </xf>
    <xf numFmtId="0" fontId="4" fillId="0" borderId="0" xfId="0" applyFont="1" applyAlignment="1">
      <alignment horizontal="left" vertical="top" wrapText="1"/>
    </xf>
    <xf numFmtId="2" fontId="6" fillId="0" borderId="0" xfId="0" applyNumberFormat="1"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G68"/>
  <sheetViews>
    <sheetView tabSelected="1" workbookViewId="0" topLeftCell="A1">
      <selection activeCell="A1" sqref="A1"/>
    </sheetView>
  </sheetViews>
  <sheetFormatPr defaultColWidth="9.140625" defaultRowHeight="12" customHeight="1"/>
  <cols>
    <col min="1" max="1" width="11.28125" style="9" customWidth="1"/>
    <col min="2" max="2" width="80.00390625" style="2" customWidth="1"/>
    <col min="3" max="3" width="15.421875" style="2" customWidth="1"/>
    <col min="4" max="4" width="16.140625" style="2" customWidth="1"/>
    <col min="5" max="5" width="16.8515625" style="2" customWidth="1"/>
    <col min="6" max="6" width="10.00390625" style="2" customWidth="1"/>
    <col min="7" max="7" width="4.00390625" style="2" customWidth="1"/>
    <col min="8" max="16384" width="9.140625" style="2" customWidth="1"/>
  </cols>
  <sheetData>
    <row r="1" spans="1:2" ht="12" customHeight="1">
      <c r="A1" s="1" t="s">
        <v>252</v>
      </c>
      <c r="B1" s="1"/>
    </row>
    <row r="2" ht="12" customHeight="1">
      <c r="A2" s="2" t="s">
        <v>769</v>
      </c>
    </row>
    <row r="3" spans="1:4" ht="12" customHeight="1">
      <c r="A3" s="2" t="s">
        <v>735</v>
      </c>
      <c r="B3" s="2" t="s">
        <v>782</v>
      </c>
      <c r="C3" s="1"/>
      <c r="D3" s="1"/>
    </row>
    <row r="4" spans="1:4" ht="12" customHeight="1">
      <c r="A4" s="1"/>
      <c r="B4" s="1"/>
      <c r="C4" s="1"/>
      <c r="D4" s="1"/>
    </row>
    <row r="5" spans="1:4" ht="96.75" customHeight="1">
      <c r="A5" s="166" t="s">
        <v>783</v>
      </c>
      <c r="B5" s="166"/>
      <c r="C5" s="1"/>
      <c r="D5" s="1"/>
    </row>
    <row r="6" ht="12" customHeight="1">
      <c r="A6" s="2" t="s">
        <v>436</v>
      </c>
    </row>
    <row r="7" ht="12" customHeight="1">
      <c r="A7" s="1"/>
    </row>
    <row r="8" spans="1:6" ht="12" customHeight="1">
      <c r="A8" s="1" t="s">
        <v>0</v>
      </c>
      <c r="B8" s="1"/>
      <c r="C8" s="1"/>
      <c r="D8" s="1"/>
      <c r="E8" s="1"/>
      <c r="F8" s="1"/>
    </row>
    <row r="9" spans="1:6" ht="12" customHeight="1">
      <c r="A9" s="1"/>
      <c r="B9" s="1"/>
      <c r="C9" s="1"/>
      <c r="D9" s="1"/>
      <c r="E9" s="1"/>
      <c r="F9" s="1"/>
    </row>
    <row r="10" spans="1:2" ht="12" customHeight="1">
      <c r="A10" s="3" t="s">
        <v>1</v>
      </c>
      <c r="B10" s="2" t="s">
        <v>2</v>
      </c>
    </row>
    <row r="11" spans="1:2" ht="12" customHeight="1">
      <c r="A11" s="3" t="s">
        <v>3</v>
      </c>
      <c r="B11" s="2" t="s">
        <v>624</v>
      </c>
    </row>
    <row r="12" spans="1:2" ht="12" customHeight="1">
      <c r="A12" s="3" t="s">
        <v>4</v>
      </c>
      <c r="B12" s="2" t="s">
        <v>623</v>
      </c>
    </row>
    <row r="13" spans="1:2" ht="12" customHeight="1">
      <c r="A13" s="3" t="s">
        <v>604</v>
      </c>
      <c r="B13" s="2" t="s">
        <v>622</v>
      </c>
    </row>
    <row r="14" spans="1:2" ht="12" customHeight="1">
      <c r="A14" s="3" t="s">
        <v>605</v>
      </c>
      <c r="B14" s="2" t="s">
        <v>606</v>
      </c>
    </row>
    <row r="15" spans="1:2" ht="12" customHeight="1">
      <c r="A15" s="3" t="s">
        <v>602</v>
      </c>
      <c r="B15" s="2" t="s">
        <v>603</v>
      </c>
    </row>
    <row r="16" spans="1:2" ht="12" customHeight="1">
      <c r="A16" s="3" t="s">
        <v>408</v>
      </c>
      <c r="B16" s="2" t="s">
        <v>607</v>
      </c>
    </row>
    <row r="17" spans="1:2" ht="12" customHeight="1">
      <c r="A17" s="3" t="s">
        <v>542</v>
      </c>
      <c r="B17" s="2" t="s">
        <v>608</v>
      </c>
    </row>
    <row r="18" ht="12" customHeight="1">
      <c r="A18" s="2"/>
    </row>
    <row r="19" spans="1:7" ht="12" customHeight="1">
      <c r="A19" s="4" t="s">
        <v>5</v>
      </c>
      <c r="B19" s="5"/>
      <c r="C19" s="5"/>
      <c r="D19" s="5"/>
      <c r="E19" s="5"/>
      <c r="F19" s="5"/>
      <c r="G19" s="5"/>
    </row>
    <row r="20" spans="1:7" ht="12" customHeight="1">
      <c r="A20" s="4"/>
      <c r="B20" s="5"/>
      <c r="C20" s="5"/>
      <c r="D20" s="5"/>
      <c r="E20" s="5"/>
      <c r="F20" s="5"/>
      <c r="G20" s="5"/>
    </row>
    <row r="21" spans="1:7" ht="12" customHeight="1">
      <c r="A21" s="6" t="s">
        <v>6</v>
      </c>
      <c r="B21" s="5" t="s">
        <v>440</v>
      </c>
      <c r="C21" s="5"/>
      <c r="D21" s="5"/>
      <c r="E21" s="5"/>
      <c r="F21" s="5"/>
      <c r="G21" s="5"/>
    </row>
    <row r="22" spans="1:7" ht="12" customHeight="1">
      <c r="A22" s="6" t="s">
        <v>13</v>
      </c>
      <c r="B22" s="5" t="s">
        <v>14</v>
      </c>
      <c r="C22" s="5"/>
      <c r="D22" s="5"/>
      <c r="E22" s="5"/>
      <c r="F22" s="5"/>
      <c r="G22" s="5"/>
    </row>
    <row r="23" spans="1:7" ht="12" customHeight="1">
      <c r="A23" s="6" t="s">
        <v>437</v>
      </c>
      <c r="B23" s="5" t="s">
        <v>438</v>
      </c>
      <c r="C23" s="5"/>
      <c r="D23" s="5"/>
      <c r="E23" s="5"/>
      <c r="F23" s="5"/>
      <c r="G23" s="5"/>
    </row>
    <row r="24" spans="1:7" ht="12" customHeight="1">
      <c r="A24" s="4" t="s">
        <v>15</v>
      </c>
      <c r="B24" s="5" t="s">
        <v>439</v>
      </c>
      <c r="C24" s="5"/>
      <c r="D24" s="5"/>
      <c r="E24" s="5"/>
      <c r="F24" s="5"/>
      <c r="G24" s="5"/>
    </row>
    <row r="25" spans="1:7" ht="12" customHeight="1">
      <c r="A25" s="7" t="s">
        <v>16</v>
      </c>
      <c r="B25" s="5" t="s">
        <v>441</v>
      </c>
      <c r="C25" s="5"/>
      <c r="D25" s="5"/>
      <c r="E25" s="5"/>
      <c r="F25" s="5"/>
      <c r="G25" s="5"/>
    </row>
    <row r="26" spans="1:7" ht="12" customHeight="1">
      <c r="A26" s="8" t="s">
        <v>7</v>
      </c>
      <c r="B26" s="5" t="s">
        <v>442</v>
      </c>
      <c r="C26" s="5"/>
      <c r="D26" s="5"/>
      <c r="E26" s="5"/>
      <c r="F26" s="5"/>
      <c r="G26" s="5"/>
    </row>
    <row r="27" spans="1:7" ht="12" customHeight="1">
      <c r="A27" s="6" t="s">
        <v>17</v>
      </c>
      <c r="B27" s="5" t="s">
        <v>443</v>
      </c>
      <c r="C27" s="5"/>
      <c r="D27" s="5"/>
      <c r="E27" s="5"/>
      <c r="F27" s="5"/>
      <c r="G27" s="5"/>
    </row>
    <row r="28" spans="1:7" ht="12" customHeight="1">
      <c r="A28" s="6" t="s">
        <v>18</v>
      </c>
      <c r="B28" s="5" t="s">
        <v>444</v>
      </c>
      <c r="C28" s="5"/>
      <c r="D28" s="5"/>
      <c r="E28" s="5"/>
      <c r="F28" s="5"/>
      <c r="G28" s="5"/>
    </row>
    <row r="29" spans="1:7" ht="12" customHeight="1">
      <c r="A29" s="6" t="s">
        <v>8</v>
      </c>
      <c r="B29" s="5" t="s">
        <v>240</v>
      </c>
      <c r="C29" s="5"/>
      <c r="D29" s="5"/>
      <c r="E29" s="5"/>
      <c r="F29" s="5"/>
      <c r="G29" s="5"/>
    </row>
    <row r="30" spans="1:7" ht="12" customHeight="1">
      <c r="A30" s="6" t="s">
        <v>9</v>
      </c>
      <c r="B30" s="5" t="s">
        <v>10</v>
      </c>
      <c r="C30" s="5"/>
      <c r="D30" s="5"/>
      <c r="E30" s="5"/>
      <c r="F30" s="5"/>
      <c r="G30" s="5"/>
    </row>
    <row r="31" spans="1:7" ht="12" customHeight="1">
      <c r="A31" s="6" t="s">
        <v>11</v>
      </c>
      <c r="B31" s="5" t="s">
        <v>12</v>
      </c>
      <c r="C31" s="5"/>
      <c r="D31" s="5"/>
      <c r="E31" s="5"/>
      <c r="F31" s="5"/>
      <c r="G31" s="5"/>
    </row>
    <row r="32" spans="1:7" ht="12" customHeight="1">
      <c r="A32" s="6"/>
      <c r="B32" s="5"/>
      <c r="C32" s="5"/>
      <c r="D32" s="5"/>
      <c r="E32" s="5"/>
      <c r="F32" s="5"/>
      <c r="G32" s="5"/>
    </row>
    <row r="33" spans="1:7" ht="12" customHeight="1">
      <c r="A33" s="9" t="s">
        <v>404</v>
      </c>
      <c r="B33" s="5"/>
      <c r="C33" s="5"/>
      <c r="D33" s="5"/>
      <c r="E33" s="5"/>
      <c r="F33" s="5"/>
      <c r="G33" s="5"/>
    </row>
    <row r="34" spans="1:7" ht="12" customHeight="1">
      <c r="A34" s="9" t="s">
        <v>405</v>
      </c>
      <c r="B34" s="5"/>
      <c r="C34" s="5"/>
      <c r="D34" s="5"/>
      <c r="E34" s="5"/>
      <c r="F34" s="5"/>
      <c r="G34" s="5"/>
    </row>
    <row r="35" spans="1:7" ht="12" customHeight="1">
      <c r="A35" s="9" t="s">
        <v>406</v>
      </c>
      <c r="B35" s="5"/>
      <c r="C35" s="5"/>
      <c r="D35" s="5"/>
      <c r="E35" s="5"/>
      <c r="F35" s="5"/>
      <c r="G35" s="5"/>
    </row>
    <row r="36" spans="2:7" ht="12" customHeight="1">
      <c r="B36" s="5"/>
      <c r="C36" s="5"/>
      <c r="D36" s="5"/>
      <c r="E36" s="5"/>
      <c r="F36" s="5"/>
      <c r="G36" s="5"/>
    </row>
    <row r="37" spans="2:7" ht="12" customHeight="1">
      <c r="B37" s="5"/>
      <c r="C37" s="5"/>
      <c r="D37" s="5"/>
      <c r="E37" s="5"/>
      <c r="F37" s="5"/>
      <c r="G37" s="5"/>
    </row>
    <row r="38" spans="1:7" ht="12" customHeight="1">
      <c r="A38" s="4" t="s">
        <v>732</v>
      </c>
      <c r="B38" s="5"/>
      <c r="C38" s="5"/>
      <c r="D38" s="5"/>
      <c r="E38" s="5"/>
      <c r="F38" s="5"/>
      <c r="G38" s="5"/>
    </row>
    <row r="39" spans="1:7" ht="12" customHeight="1">
      <c r="A39" s="4"/>
      <c r="B39" s="5"/>
      <c r="C39" s="5"/>
      <c r="D39" s="5"/>
      <c r="E39" s="5"/>
      <c r="F39" s="5"/>
      <c r="G39" s="5"/>
    </row>
    <row r="40" spans="1:7" ht="12" customHeight="1">
      <c r="A40" s="9" t="s">
        <v>19</v>
      </c>
      <c r="B40" s="5"/>
      <c r="C40" s="5"/>
      <c r="D40" s="5"/>
      <c r="E40" s="5"/>
      <c r="F40" s="5"/>
      <c r="G40" s="5"/>
    </row>
    <row r="41" spans="1:7" ht="12" customHeight="1">
      <c r="A41" s="9" t="s">
        <v>356</v>
      </c>
      <c r="B41" s="5"/>
      <c r="C41" s="5"/>
      <c r="D41" s="5"/>
      <c r="E41" s="5"/>
      <c r="F41" s="5"/>
      <c r="G41" s="5"/>
    </row>
    <row r="42" spans="1:7" ht="12" customHeight="1">
      <c r="A42" s="9" t="s">
        <v>350</v>
      </c>
      <c r="B42" s="5"/>
      <c r="C42" s="5"/>
      <c r="D42" s="5"/>
      <c r="E42" s="5"/>
      <c r="F42" s="5"/>
      <c r="G42" s="5"/>
    </row>
    <row r="43" spans="1:7" ht="12" customHeight="1">
      <c r="A43" s="9" t="s">
        <v>351</v>
      </c>
      <c r="B43" s="5"/>
      <c r="C43" s="5"/>
      <c r="D43" s="5"/>
      <c r="E43" s="5"/>
      <c r="F43" s="5"/>
      <c r="G43" s="5"/>
    </row>
    <row r="44" spans="1:7" ht="12" customHeight="1">
      <c r="A44" s="9" t="s">
        <v>352</v>
      </c>
      <c r="B44" s="5"/>
      <c r="C44" s="5"/>
      <c r="D44" s="5"/>
      <c r="E44" s="5"/>
      <c r="F44" s="5"/>
      <c r="G44" s="5"/>
    </row>
    <row r="45" spans="1:7" ht="12" customHeight="1">
      <c r="A45" s="9" t="s">
        <v>354</v>
      </c>
      <c r="B45" s="5"/>
      <c r="C45" s="5"/>
      <c r="D45" s="5"/>
      <c r="E45" s="5"/>
      <c r="F45" s="5"/>
      <c r="G45" s="5"/>
    </row>
    <row r="46" spans="1:7" ht="12" customHeight="1">
      <c r="A46" s="9" t="s">
        <v>355</v>
      </c>
      <c r="B46" s="5"/>
      <c r="C46" s="5"/>
      <c r="D46" s="5"/>
      <c r="E46" s="5"/>
      <c r="F46" s="5"/>
      <c r="G46" s="5"/>
    </row>
    <row r="47" spans="1:7" ht="12" customHeight="1">
      <c r="A47" s="9" t="s">
        <v>734</v>
      </c>
      <c r="B47" s="5"/>
      <c r="C47" s="5"/>
      <c r="D47" s="5"/>
      <c r="E47" s="5"/>
      <c r="F47" s="5"/>
      <c r="G47" s="5"/>
    </row>
    <row r="48" spans="1:7" ht="12" customHeight="1">
      <c r="A48" s="9" t="s">
        <v>359</v>
      </c>
      <c r="B48" s="5"/>
      <c r="C48" s="5"/>
      <c r="D48" s="5"/>
      <c r="E48" s="5"/>
      <c r="F48" s="5"/>
      <c r="G48" s="5"/>
    </row>
    <row r="49" spans="1:7" ht="12" customHeight="1">
      <c r="A49" s="9" t="s">
        <v>353</v>
      </c>
      <c r="B49" s="5"/>
      <c r="C49" s="5"/>
      <c r="D49" s="5"/>
      <c r="E49" s="5"/>
      <c r="F49" s="5"/>
      <c r="G49" s="5"/>
    </row>
    <row r="50" spans="1:7" ht="12" customHeight="1">
      <c r="A50" s="9" t="s">
        <v>357</v>
      </c>
      <c r="B50" s="5"/>
      <c r="C50" s="5"/>
      <c r="D50" s="5"/>
      <c r="E50" s="5"/>
      <c r="F50" s="5"/>
      <c r="G50" s="5"/>
    </row>
    <row r="51" spans="1:7" ht="12" customHeight="1">
      <c r="A51" s="9" t="s">
        <v>358</v>
      </c>
      <c r="B51" s="5"/>
      <c r="C51" s="5"/>
      <c r="D51" s="5"/>
      <c r="E51" s="5"/>
      <c r="F51" s="5"/>
      <c r="G51" s="5"/>
    </row>
    <row r="52" spans="1:7" ht="12" customHeight="1">
      <c r="A52" s="9" t="s">
        <v>733</v>
      </c>
      <c r="B52" s="5"/>
      <c r="C52" s="5"/>
      <c r="D52" s="5"/>
      <c r="E52" s="5"/>
      <c r="F52" s="5"/>
      <c r="G52" s="5"/>
    </row>
    <row r="53" spans="2:7" ht="12" customHeight="1">
      <c r="B53" s="5"/>
      <c r="C53" s="5"/>
      <c r="D53" s="5"/>
      <c r="E53" s="5"/>
      <c r="F53" s="5"/>
      <c r="G53" s="5"/>
    </row>
    <row r="54" spans="2:7" ht="12" customHeight="1">
      <c r="B54" s="5"/>
      <c r="C54" s="5"/>
      <c r="D54" s="5"/>
      <c r="E54" s="5"/>
      <c r="F54" s="5"/>
      <c r="G54" s="5"/>
    </row>
    <row r="55" spans="2:7" ht="12" customHeight="1">
      <c r="B55" s="5"/>
      <c r="C55" s="5"/>
      <c r="D55" s="5"/>
      <c r="E55" s="5"/>
      <c r="F55" s="5"/>
      <c r="G55" s="5"/>
    </row>
    <row r="56" spans="1:7" ht="12" customHeight="1">
      <c r="A56" s="146"/>
      <c r="B56" s="147"/>
      <c r="C56" s="5"/>
      <c r="D56" s="5"/>
      <c r="E56" s="5"/>
      <c r="F56" s="5"/>
      <c r="G56" s="5"/>
    </row>
    <row r="57" spans="1:7" ht="12" customHeight="1">
      <c r="A57" s="148" t="s">
        <v>576</v>
      </c>
      <c r="B57" s="149" t="s">
        <v>768</v>
      </c>
      <c r="C57" s="145"/>
      <c r="D57"/>
      <c r="E57" s="5"/>
      <c r="F57" s="5"/>
      <c r="G57" s="5"/>
    </row>
    <row r="58" spans="1:7" ht="12" customHeight="1">
      <c r="A58" s="151" t="s">
        <v>654</v>
      </c>
      <c r="B58" s="150" t="s">
        <v>581</v>
      </c>
      <c r="C58" s="145"/>
      <c r="D58"/>
      <c r="E58" s="5"/>
      <c r="F58" s="5"/>
      <c r="G58" s="5"/>
    </row>
    <row r="59" spans="1:7" ht="12" customHeight="1">
      <c r="A59" s="152" t="s">
        <v>655</v>
      </c>
      <c r="B59" s="150" t="s">
        <v>653</v>
      </c>
      <c r="C59" s="145"/>
      <c r="D59"/>
      <c r="E59" s="5"/>
      <c r="F59" s="5"/>
      <c r="G59" s="5"/>
    </row>
    <row r="60" spans="1:7" ht="12" customHeight="1">
      <c r="A60" s="152" t="s">
        <v>656</v>
      </c>
      <c r="B60" s="150" t="s">
        <v>582</v>
      </c>
      <c r="C60" s="145"/>
      <c r="D60"/>
      <c r="E60" s="5"/>
      <c r="F60" s="5"/>
      <c r="G60" s="5"/>
    </row>
    <row r="61" spans="1:7" ht="12" customHeight="1">
      <c r="A61" s="152" t="s">
        <v>577</v>
      </c>
      <c r="B61" s="150" t="s">
        <v>583</v>
      </c>
      <c r="C61" s="145"/>
      <c r="D61"/>
      <c r="E61" s="5"/>
      <c r="F61" s="5"/>
      <c r="G61" s="5"/>
    </row>
    <row r="62" spans="1:7" ht="12" customHeight="1">
      <c r="A62" s="152" t="s">
        <v>578</v>
      </c>
      <c r="B62" s="150" t="s">
        <v>584</v>
      </c>
      <c r="C62" s="145"/>
      <c r="D62"/>
      <c r="E62" s="5"/>
      <c r="F62" s="5"/>
      <c r="G62" s="5"/>
    </row>
    <row r="63" spans="1:7" ht="12" customHeight="1">
      <c r="A63" s="152" t="s">
        <v>579</v>
      </c>
      <c r="B63" s="150" t="s">
        <v>585</v>
      </c>
      <c r="C63" s="145"/>
      <c r="D63"/>
      <c r="E63" s="5"/>
      <c r="F63" s="5"/>
      <c r="G63" s="5"/>
    </row>
    <row r="64" spans="1:7" ht="12" customHeight="1">
      <c r="A64" s="152" t="s">
        <v>580</v>
      </c>
      <c r="B64" s="150" t="s">
        <v>586</v>
      </c>
      <c r="C64" s="145"/>
      <c r="D64"/>
      <c r="E64" s="5"/>
      <c r="F64" s="5"/>
      <c r="G64" s="5"/>
    </row>
    <row r="65" spans="1:7" ht="12" customHeight="1">
      <c r="A65" s="152" t="s">
        <v>650</v>
      </c>
      <c r="B65" s="150" t="s">
        <v>718</v>
      </c>
      <c r="C65" s="145"/>
      <c r="D65"/>
      <c r="E65" s="5"/>
      <c r="F65" s="5"/>
      <c r="G65" s="5"/>
    </row>
    <row r="66" spans="1:7" ht="12" customHeight="1">
      <c r="A66" s="153" t="s">
        <v>651</v>
      </c>
      <c r="B66" s="147" t="s">
        <v>652</v>
      </c>
      <c r="C66" s="5"/>
      <c r="D66" s="5"/>
      <c r="E66" s="5"/>
      <c r="F66" s="5"/>
      <c r="G66" s="5"/>
    </row>
    <row r="67" spans="1:2" ht="15" customHeight="1">
      <c r="A67" s="153"/>
      <c r="B67" s="139"/>
    </row>
    <row r="68" ht="12" customHeight="1">
      <c r="A68" s="4"/>
    </row>
  </sheetData>
  <sheetProtection password="990B" sheet="1" objects="1" scenarios="1"/>
  <mergeCells count="1">
    <mergeCell ref="A5:B5"/>
  </mergeCells>
  <printOptions/>
  <pageMargins left="0.3" right="0" top="0.5" bottom="0" header="0.590551181102362" footer="0.511811023622047"/>
  <pageSetup horizontalDpi="600" verticalDpi="600" orientation="landscape" r:id="rId1"/>
  <headerFooter alignWithMargins="0">
    <oddHeader>&amp;R&amp;9(&amp;P of &amp;N)</oddHeader>
  </headerFooter>
  <rowBreaks count="1" manualBreakCount="1">
    <brk id="36" max="255" man="1"/>
  </rowBreaks>
</worksheet>
</file>

<file path=xl/worksheets/sheet2.xml><?xml version="1.0" encoding="utf-8"?>
<worksheet xmlns="http://schemas.openxmlformats.org/spreadsheetml/2006/main" xmlns:r="http://schemas.openxmlformats.org/officeDocument/2006/relationships">
  <sheetPr codeName="Sheet3"/>
  <dimension ref="A1:U70"/>
  <sheetViews>
    <sheetView workbookViewId="0" topLeftCell="A1">
      <selection activeCell="A1" sqref="A1"/>
    </sheetView>
  </sheetViews>
  <sheetFormatPr defaultColWidth="9.140625" defaultRowHeight="12" customHeight="1"/>
  <cols>
    <col min="1" max="1" width="7.8515625" style="20" customWidth="1"/>
    <col min="2" max="2" width="20.140625" style="65" customWidth="1"/>
    <col min="3" max="3" width="4.7109375" style="15" customWidth="1"/>
    <col min="4" max="4" width="6.28125" style="18" customWidth="1"/>
    <col min="5" max="5" width="6.28125" style="15" customWidth="1"/>
    <col min="6" max="6" width="4.8515625" style="15" customWidth="1"/>
    <col min="7" max="7" width="5.28125" style="52" customWidth="1"/>
    <col min="8" max="11" width="5.28125" style="18" customWidth="1"/>
    <col min="12" max="12" width="5.28125" style="15" customWidth="1"/>
    <col min="13" max="13" width="5.28125" style="18" customWidth="1"/>
    <col min="14" max="14" width="5.28125" style="15" customWidth="1"/>
    <col min="15" max="15" width="5.28125" style="18" customWidth="1"/>
    <col min="16" max="16" width="5.28125" style="15" customWidth="1"/>
    <col min="17" max="17" width="5.28125" style="18" customWidth="1"/>
    <col min="18" max="18" width="6.421875" style="18" customWidth="1"/>
    <col min="19" max="19" width="5.28125" style="16" customWidth="1"/>
    <col min="20" max="20" width="5.28125" style="18" customWidth="1"/>
    <col min="21" max="21" width="6.421875" style="18" customWidth="1"/>
    <col min="22" max="22" width="3.28125" style="20" customWidth="1"/>
    <col min="23" max="16384" width="9.140625" style="20" customWidth="1"/>
  </cols>
  <sheetData>
    <row r="1" spans="1:21" s="41" customFormat="1" ht="12" customHeight="1">
      <c r="A1" s="21" t="str">
        <f>i!A1</f>
        <v>Lens$db: Lens Price database</v>
      </c>
      <c r="B1" s="49"/>
      <c r="C1" s="50"/>
      <c r="D1" s="21"/>
      <c r="E1" s="50"/>
      <c r="F1" s="50"/>
      <c r="G1" s="33"/>
      <c r="H1" s="33"/>
      <c r="I1" s="16" t="s">
        <v>20</v>
      </c>
      <c r="J1" s="33"/>
      <c r="K1" s="16" t="s">
        <v>20</v>
      </c>
      <c r="L1" s="16"/>
      <c r="M1" s="19"/>
      <c r="N1" s="16"/>
      <c r="O1" s="19"/>
      <c r="P1" s="16" t="s">
        <v>20</v>
      </c>
      <c r="Q1" s="19" t="s">
        <v>20</v>
      </c>
      <c r="R1" s="51" t="str">
        <f>i!B3</f>
        <v>.2010-06-01</v>
      </c>
      <c r="S1" s="51"/>
      <c r="T1" s="19"/>
      <c r="U1" s="16" t="s">
        <v>20</v>
      </c>
    </row>
    <row r="2" spans="1:21" s="41" customFormat="1" ht="12" customHeight="1">
      <c r="A2" s="21"/>
      <c r="B2" s="49"/>
      <c r="C2" s="50"/>
      <c r="D2" s="21"/>
      <c r="E2" s="50"/>
      <c r="F2" s="50"/>
      <c r="G2" s="33"/>
      <c r="H2" s="33"/>
      <c r="I2" s="16"/>
      <c r="J2" s="33"/>
      <c r="K2" s="16"/>
      <c r="L2" s="16"/>
      <c r="M2" s="19"/>
      <c r="N2" s="16"/>
      <c r="O2" s="19"/>
      <c r="P2" s="16"/>
      <c r="Q2" s="19"/>
      <c r="R2" s="51"/>
      <c r="S2" s="51"/>
      <c r="T2" s="19"/>
      <c r="U2" s="16"/>
    </row>
    <row r="3" spans="1:21" s="41" customFormat="1" ht="12" customHeight="1">
      <c r="A3" s="33"/>
      <c r="B3" s="49"/>
      <c r="C3" s="53"/>
      <c r="D3" s="22"/>
      <c r="E3" s="53"/>
      <c r="F3" s="53"/>
      <c r="G3" s="54"/>
      <c r="H3" s="54"/>
      <c r="I3" s="54"/>
      <c r="J3" s="54"/>
      <c r="K3" s="165"/>
      <c r="L3" s="55"/>
      <c r="M3" s="30"/>
      <c r="N3" s="163" t="s">
        <v>21</v>
      </c>
      <c r="O3" s="30"/>
      <c r="P3" s="55"/>
      <c r="Q3" s="30"/>
      <c r="R3" s="30" t="s">
        <v>22</v>
      </c>
      <c r="S3" s="30"/>
      <c r="T3" s="30"/>
      <c r="U3" s="32"/>
    </row>
    <row r="4" spans="1:21" s="41" customFormat="1" ht="12" customHeight="1">
      <c r="A4" s="33" t="s">
        <v>42</v>
      </c>
      <c r="B4" s="68"/>
      <c r="C4" s="40" t="s">
        <v>6</v>
      </c>
      <c r="D4" s="40" t="s">
        <v>13</v>
      </c>
      <c r="E4" s="40" t="s">
        <v>642</v>
      </c>
      <c r="F4" s="71" t="s">
        <v>15</v>
      </c>
      <c r="G4" s="63" t="s">
        <v>519</v>
      </c>
      <c r="H4" s="57" t="s">
        <v>7</v>
      </c>
      <c r="I4" s="16" t="s">
        <v>587</v>
      </c>
      <c r="J4" s="16" t="s">
        <v>588</v>
      </c>
      <c r="K4" s="35" t="s">
        <v>589</v>
      </c>
      <c r="L4" s="36" t="s">
        <v>23</v>
      </c>
      <c r="M4" s="37"/>
      <c r="N4" s="38" t="s">
        <v>24</v>
      </c>
      <c r="O4" s="37"/>
      <c r="P4" s="58"/>
      <c r="Q4" s="37" t="s">
        <v>9</v>
      </c>
      <c r="R4" s="37"/>
      <c r="S4" s="59"/>
      <c r="T4" s="37" t="s">
        <v>11</v>
      </c>
      <c r="U4" s="37"/>
    </row>
    <row r="5" spans="1:21" s="41" customFormat="1" ht="12" customHeight="1">
      <c r="A5" s="42" t="s">
        <v>20</v>
      </c>
      <c r="B5" s="69" t="s">
        <v>20</v>
      </c>
      <c r="C5" s="25" t="s">
        <v>25</v>
      </c>
      <c r="D5" s="25" t="s">
        <v>20</v>
      </c>
      <c r="E5" s="25" t="s">
        <v>20</v>
      </c>
      <c r="F5" s="70" t="s">
        <v>20</v>
      </c>
      <c r="G5" s="60" t="s">
        <v>43</v>
      </c>
      <c r="H5" s="61" t="s">
        <v>26</v>
      </c>
      <c r="I5" s="28" t="s">
        <v>25</v>
      </c>
      <c r="J5" s="28" t="s">
        <v>25</v>
      </c>
      <c r="K5" s="37" t="s">
        <v>25</v>
      </c>
      <c r="L5" s="27" t="s">
        <v>27</v>
      </c>
      <c r="M5" s="37" t="s">
        <v>28</v>
      </c>
      <c r="N5" s="28" t="s">
        <v>27</v>
      </c>
      <c r="O5" s="37" t="s">
        <v>28</v>
      </c>
      <c r="P5" s="39" t="s">
        <v>27</v>
      </c>
      <c r="Q5" s="30" t="s">
        <v>28</v>
      </c>
      <c r="R5" s="32" t="s">
        <v>29</v>
      </c>
      <c r="S5" s="39" t="s">
        <v>27</v>
      </c>
      <c r="T5" s="30" t="s">
        <v>28</v>
      </c>
      <c r="U5" s="32" t="s">
        <v>29</v>
      </c>
    </row>
    <row r="6" spans="1:21" ht="12" customHeight="1">
      <c r="A6" s="62" t="s">
        <v>44</v>
      </c>
      <c r="B6" s="11" t="s">
        <v>45</v>
      </c>
      <c r="C6" s="16">
        <v>14</v>
      </c>
      <c r="D6" s="19">
        <v>2.8</v>
      </c>
      <c r="E6" s="35">
        <f>1.6*C6</f>
        <v>22.400000000000002</v>
      </c>
      <c r="F6" s="16" t="s">
        <v>46</v>
      </c>
      <c r="G6" s="63">
        <v>0.25</v>
      </c>
      <c r="H6" s="57">
        <v>0.56</v>
      </c>
      <c r="I6" s="16">
        <v>89</v>
      </c>
      <c r="J6" s="16">
        <v>77</v>
      </c>
      <c r="K6" s="19" t="s">
        <v>47</v>
      </c>
      <c r="L6" s="26">
        <f>AVERAGE(896,910,1005,1098,990,910,910,930,961)</f>
        <v>956.6666666666666</v>
      </c>
      <c r="M6" s="40" t="s">
        <v>781</v>
      </c>
      <c r="N6" s="26">
        <f>AVERAGE(1099,1320,1226,1280,1225,1250,1293,1199,1105)</f>
        <v>1221.888888888889</v>
      </c>
      <c r="O6" s="40" t="s">
        <v>781</v>
      </c>
      <c r="P6" s="26">
        <v>1000</v>
      </c>
      <c r="Q6" s="40" t="s">
        <v>781</v>
      </c>
      <c r="R6" s="35" t="s">
        <v>39</v>
      </c>
      <c r="S6" s="26">
        <v>1200</v>
      </c>
      <c r="T6" s="40" t="s">
        <v>704</v>
      </c>
      <c r="U6" s="35" t="s">
        <v>34</v>
      </c>
    </row>
    <row r="7" spans="1:21" ht="12" customHeight="1">
      <c r="A7" s="62" t="s">
        <v>44</v>
      </c>
      <c r="B7" s="11" t="s">
        <v>407</v>
      </c>
      <c r="C7" s="16">
        <v>14</v>
      </c>
      <c r="D7" s="19">
        <v>2.8</v>
      </c>
      <c r="E7" s="35">
        <f aca="true" t="shared" si="0" ref="E7:E26">1.6*C7</f>
        <v>22.400000000000002</v>
      </c>
      <c r="F7" s="16" t="s">
        <v>46</v>
      </c>
      <c r="G7" s="63">
        <v>0.2</v>
      </c>
      <c r="H7" s="57">
        <v>0.645</v>
      </c>
      <c r="I7" s="16">
        <v>94</v>
      </c>
      <c r="J7" s="16">
        <v>80</v>
      </c>
      <c r="K7" s="19" t="s">
        <v>47</v>
      </c>
      <c r="L7" s="26">
        <f>AVERAGE(1700,1575)</f>
        <v>1637.5</v>
      </c>
      <c r="M7" s="40" t="s">
        <v>781</v>
      </c>
      <c r="N7" s="26">
        <f>AVERAGE(1775,1801,1725,1825,1850,1776,1850,1603)</f>
        <v>1775.625</v>
      </c>
      <c r="O7" s="40" t="s">
        <v>781</v>
      </c>
      <c r="P7" s="26" t="s">
        <v>20</v>
      </c>
      <c r="Q7" s="40" t="s">
        <v>20</v>
      </c>
      <c r="R7" s="35" t="s">
        <v>20</v>
      </c>
      <c r="S7" s="26">
        <v>1900</v>
      </c>
      <c r="T7" s="40" t="s">
        <v>781</v>
      </c>
      <c r="U7" s="35" t="s">
        <v>38</v>
      </c>
    </row>
    <row r="8" spans="1:21" ht="12" customHeight="1">
      <c r="A8" s="62" t="s">
        <v>44</v>
      </c>
      <c r="B8" s="11" t="s">
        <v>377</v>
      </c>
      <c r="C8" s="16">
        <v>15</v>
      </c>
      <c r="D8" s="19">
        <v>2.8</v>
      </c>
      <c r="E8" s="35">
        <f t="shared" si="0"/>
        <v>24</v>
      </c>
      <c r="F8" s="16" t="s">
        <v>46</v>
      </c>
      <c r="G8" s="63">
        <v>0.2</v>
      </c>
      <c r="H8" s="57">
        <v>0.33</v>
      </c>
      <c r="I8" s="16">
        <v>62.2</v>
      </c>
      <c r="J8" s="16">
        <v>73</v>
      </c>
      <c r="K8" s="19" t="s">
        <v>47</v>
      </c>
      <c r="L8" s="26">
        <f>AVERAGE(495,500,515,473,450,472,475,496)</f>
        <v>484.5</v>
      </c>
      <c r="M8" s="16" t="s">
        <v>781</v>
      </c>
      <c r="N8" s="26">
        <f>AVERAGE(530,563,636,560,585,555,563,641,600,620)</f>
        <v>585.3</v>
      </c>
      <c r="O8" s="16" t="s">
        <v>781</v>
      </c>
      <c r="P8" s="26">
        <v>525</v>
      </c>
      <c r="Q8" s="16" t="s">
        <v>781</v>
      </c>
      <c r="R8" s="35" t="s">
        <v>34</v>
      </c>
      <c r="S8" s="72">
        <v>664</v>
      </c>
      <c r="T8" s="16" t="s">
        <v>781</v>
      </c>
      <c r="U8" s="35" t="s">
        <v>35</v>
      </c>
    </row>
    <row r="9" spans="1:21" ht="12" customHeight="1">
      <c r="A9" s="62" t="s">
        <v>44</v>
      </c>
      <c r="B9" s="11" t="s">
        <v>520</v>
      </c>
      <c r="C9" s="16">
        <v>17</v>
      </c>
      <c r="D9" s="19">
        <v>4</v>
      </c>
      <c r="E9" s="35">
        <f t="shared" si="0"/>
        <v>27.200000000000003</v>
      </c>
      <c r="F9" s="16" t="s">
        <v>52</v>
      </c>
      <c r="G9" s="63">
        <v>0.25</v>
      </c>
      <c r="H9" s="80">
        <v>0.82</v>
      </c>
      <c r="I9" s="16">
        <v>106.7</v>
      </c>
      <c r="J9" s="16">
        <v>88.9</v>
      </c>
      <c r="K9" s="19" t="s">
        <v>20</v>
      </c>
      <c r="L9" s="26">
        <f>AVERAGE(2081)</f>
        <v>2081</v>
      </c>
      <c r="M9" s="40" t="s">
        <v>781</v>
      </c>
      <c r="N9" s="72">
        <f>AVERAGE(2000,2359,2369)</f>
        <v>2242.6666666666665</v>
      </c>
      <c r="O9" s="40" t="s">
        <v>781</v>
      </c>
      <c r="P9" s="26" t="s">
        <v>20</v>
      </c>
      <c r="Q9" s="40" t="s">
        <v>20</v>
      </c>
      <c r="R9" s="35" t="s">
        <v>20</v>
      </c>
      <c r="S9" s="72">
        <v>2340</v>
      </c>
      <c r="T9" s="40" t="s">
        <v>781</v>
      </c>
      <c r="U9" s="35" t="s">
        <v>39</v>
      </c>
    </row>
    <row r="10" spans="1:21" ht="12" customHeight="1">
      <c r="A10" s="64" t="s">
        <v>44</v>
      </c>
      <c r="B10" s="23" t="s">
        <v>48</v>
      </c>
      <c r="C10" s="28">
        <v>20</v>
      </c>
      <c r="D10" s="45">
        <v>2.8</v>
      </c>
      <c r="E10" s="37">
        <f t="shared" si="0"/>
        <v>32</v>
      </c>
      <c r="F10" s="28" t="s">
        <v>46</v>
      </c>
      <c r="G10" s="60">
        <v>0.25</v>
      </c>
      <c r="H10" s="61">
        <v>0.405</v>
      </c>
      <c r="I10" s="28">
        <v>70.6</v>
      </c>
      <c r="J10" s="28">
        <v>77.5</v>
      </c>
      <c r="K10" s="45">
        <v>72</v>
      </c>
      <c r="L10" s="27">
        <f>AVERAGE(250,228,238,235,250,250,257,270,223,285,218,250)</f>
        <v>246.16666666666666</v>
      </c>
      <c r="M10" s="154" t="s">
        <v>704</v>
      </c>
      <c r="N10" s="27">
        <f>AVERAGE(326,399,355,330,335,354,325,355,315)</f>
        <v>343.77777777777777</v>
      </c>
      <c r="O10" s="25" t="s">
        <v>781</v>
      </c>
      <c r="P10" s="27">
        <v>350</v>
      </c>
      <c r="Q10" s="25" t="s">
        <v>781</v>
      </c>
      <c r="R10" s="37" t="s">
        <v>35</v>
      </c>
      <c r="S10" s="27">
        <v>425</v>
      </c>
      <c r="T10" s="25" t="s">
        <v>781</v>
      </c>
      <c r="U10" s="37" t="s">
        <v>34</v>
      </c>
    </row>
    <row r="11" spans="1:21" ht="12" customHeight="1">
      <c r="A11" s="62" t="s">
        <v>44</v>
      </c>
      <c r="B11" s="11" t="s">
        <v>49</v>
      </c>
      <c r="C11" s="16">
        <v>24</v>
      </c>
      <c r="D11" s="19">
        <v>1.4</v>
      </c>
      <c r="E11" s="35">
        <f t="shared" si="0"/>
        <v>38.400000000000006</v>
      </c>
      <c r="F11" s="16" t="s">
        <v>46</v>
      </c>
      <c r="G11" s="63">
        <v>0.25</v>
      </c>
      <c r="H11" s="57">
        <v>0.55</v>
      </c>
      <c r="I11" s="16">
        <v>77.4</v>
      </c>
      <c r="J11" s="16">
        <v>83.5</v>
      </c>
      <c r="K11" s="19">
        <v>77</v>
      </c>
      <c r="L11" s="26">
        <f>AVERAGE(910,885,900,879,823,810,865)</f>
        <v>867.4285714285714</v>
      </c>
      <c r="M11" s="40" t="s">
        <v>731</v>
      </c>
      <c r="N11" s="26">
        <f>AVERAGE(1175,1000,1000,1252,920,900,1101,995,1026)</f>
        <v>1041</v>
      </c>
      <c r="O11" s="40" t="s">
        <v>781</v>
      </c>
      <c r="P11" s="26">
        <v>1370</v>
      </c>
      <c r="Q11" s="40" t="s">
        <v>781</v>
      </c>
      <c r="R11" s="35" t="s">
        <v>35</v>
      </c>
      <c r="S11" s="26">
        <v>1150</v>
      </c>
      <c r="T11" s="40" t="s">
        <v>704</v>
      </c>
      <c r="U11" s="35" t="s">
        <v>39</v>
      </c>
    </row>
    <row r="12" spans="1:21" ht="12" customHeight="1">
      <c r="A12" s="62" t="s">
        <v>44</v>
      </c>
      <c r="B12" s="11" t="s">
        <v>500</v>
      </c>
      <c r="C12" s="16">
        <v>24</v>
      </c>
      <c r="D12" s="19">
        <v>1.4</v>
      </c>
      <c r="E12" s="35">
        <f t="shared" si="0"/>
        <v>38.400000000000006</v>
      </c>
      <c r="F12" s="16" t="s">
        <v>46</v>
      </c>
      <c r="G12" s="63">
        <v>0.25</v>
      </c>
      <c r="H12" s="57">
        <v>0.65</v>
      </c>
      <c r="I12" s="16">
        <v>93.5</v>
      </c>
      <c r="J12" s="16">
        <v>86.9</v>
      </c>
      <c r="K12" s="19">
        <v>77</v>
      </c>
      <c r="L12" s="26">
        <f>AVERAGE(1475,1399,1499)</f>
        <v>1457.6666666666667</v>
      </c>
      <c r="M12" s="40" t="s">
        <v>731</v>
      </c>
      <c r="N12" s="72">
        <f>AVERAGE(1669,1699,1699,1555)</f>
        <v>1655.5</v>
      </c>
      <c r="O12" s="40" t="s">
        <v>781</v>
      </c>
      <c r="P12" s="26" t="s">
        <v>20</v>
      </c>
      <c r="Q12" s="40" t="s">
        <v>20</v>
      </c>
      <c r="R12" s="35" t="s">
        <v>20</v>
      </c>
      <c r="S12" s="72">
        <v>1700</v>
      </c>
      <c r="T12" s="40" t="s">
        <v>601</v>
      </c>
      <c r="U12" s="35" t="s">
        <v>35</v>
      </c>
    </row>
    <row r="13" spans="1:21" ht="12" customHeight="1">
      <c r="A13" s="62" t="s">
        <v>44</v>
      </c>
      <c r="B13" s="11" t="s">
        <v>50</v>
      </c>
      <c r="C13" s="16">
        <v>24</v>
      </c>
      <c r="D13" s="19">
        <v>2.8</v>
      </c>
      <c r="E13" s="35">
        <f t="shared" si="0"/>
        <v>38.400000000000006</v>
      </c>
      <c r="F13" s="16" t="s">
        <v>46</v>
      </c>
      <c r="G13" s="63">
        <v>0.25</v>
      </c>
      <c r="H13" s="57">
        <v>0.27</v>
      </c>
      <c r="I13" s="16">
        <v>48.5</v>
      </c>
      <c r="J13" s="16">
        <v>67.5</v>
      </c>
      <c r="K13" s="19">
        <v>58</v>
      </c>
      <c r="L13" s="26">
        <f>AVERAGE(187,215,153,209,208,190,180,158,179)</f>
        <v>186.55555555555554</v>
      </c>
      <c r="M13" s="40" t="s">
        <v>731</v>
      </c>
      <c r="N13" s="26">
        <f>AVERAGE(273,282,195,252,239,260,250,272)</f>
        <v>252.875</v>
      </c>
      <c r="O13" s="40" t="s">
        <v>781</v>
      </c>
      <c r="P13" s="26">
        <v>275</v>
      </c>
      <c r="Q13" s="40" t="s">
        <v>781</v>
      </c>
      <c r="R13" s="35" t="s">
        <v>35</v>
      </c>
      <c r="S13" s="26">
        <v>300</v>
      </c>
      <c r="T13" s="40" t="s">
        <v>731</v>
      </c>
      <c r="U13" s="35" t="s">
        <v>35</v>
      </c>
    </row>
    <row r="14" spans="1:21" ht="12" customHeight="1">
      <c r="A14" s="62" t="s">
        <v>44</v>
      </c>
      <c r="B14" s="11" t="s">
        <v>51</v>
      </c>
      <c r="C14" s="16">
        <v>24</v>
      </c>
      <c r="D14" s="19">
        <v>3.5</v>
      </c>
      <c r="E14" s="35">
        <f t="shared" si="0"/>
        <v>38.400000000000006</v>
      </c>
      <c r="F14" s="16" t="s">
        <v>52</v>
      </c>
      <c r="G14" s="63">
        <v>0.3</v>
      </c>
      <c r="H14" s="57">
        <v>0.57</v>
      </c>
      <c r="I14" s="16">
        <v>86.7</v>
      </c>
      <c r="J14" s="16">
        <v>78</v>
      </c>
      <c r="K14" s="19">
        <v>72</v>
      </c>
      <c r="L14" s="26">
        <f>AVERAGE(750,845,710,762,820,820,841,824,750,775)</f>
        <v>789.7</v>
      </c>
      <c r="M14" s="40" t="s">
        <v>781</v>
      </c>
      <c r="N14" s="26">
        <f>AVERAGE(845,878,815,750,852,825,910,925,801)</f>
        <v>844.5555555555555</v>
      </c>
      <c r="O14" s="40" t="s">
        <v>781</v>
      </c>
      <c r="P14" s="26">
        <v>845</v>
      </c>
      <c r="Q14" s="40" t="s">
        <v>781</v>
      </c>
      <c r="R14" s="35" t="s">
        <v>34</v>
      </c>
      <c r="S14" s="26">
        <v>1050</v>
      </c>
      <c r="T14" s="40" t="s">
        <v>767</v>
      </c>
      <c r="U14" s="35" t="s">
        <v>38</v>
      </c>
    </row>
    <row r="15" spans="1:21" ht="12" customHeight="1">
      <c r="A15" s="62" t="s">
        <v>44</v>
      </c>
      <c r="B15" s="11" t="s">
        <v>521</v>
      </c>
      <c r="C15" s="16">
        <v>24</v>
      </c>
      <c r="D15" s="19">
        <v>3.5</v>
      </c>
      <c r="E15" s="35">
        <f t="shared" si="0"/>
        <v>38.400000000000006</v>
      </c>
      <c r="F15" s="16" t="s">
        <v>52</v>
      </c>
      <c r="G15" s="63">
        <v>0.21</v>
      </c>
      <c r="H15" s="57">
        <v>0.78</v>
      </c>
      <c r="I15" s="16">
        <v>106.9</v>
      </c>
      <c r="J15" s="16">
        <v>88.5</v>
      </c>
      <c r="K15" s="19">
        <v>82</v>
      </c>
      <c r="L15" s="26">
        <v>1549</v>
      </c>
      <c r="M15" s="40" t="s">
        <v>731</v>
      </c>
      <c r="N15" s="72">
        <f>AVERAGE(2195,1700)</f>
        <v>1947.5</v>
      </c>
      <c r="O15" s="40" t="s">
        <v>781</v>
      </c>
      <c r="P15" s="26" t="s">
        <v>20</v>
      </c>
      <c r="Q15" s="40" t="s">
        <v>20</v>
      </c>
      <c r="R15" s="35" t="s">
        <v>20</v>
      </c>
      <c r="S15" s="26">
        <v>1670</v>
      </c>
      <c r="T15" s="40" t="s">
        <v>781</v>
      </c>
      <c r="U15" s="35" t="s">
        <v>35</v>
      </c>
    </row>
    <row r="16" spans="1:21" ht="12" customHeight="1">
      <c r="A16" s="62" t="s">
        <v>44</v>
      </c>
      <c r="B16" s="11" t="s">
        <v>53</v>
      </c>
      <c r="C16" s="16">
        <v>28</v>
      </c>
      <c r="D16" s="19">
        <v>1.8</v>
      </c>
      <c r="E16" s="35">
        <f t="shared" si="0"/>
        <v>44.800000000000004</v>
      </c>
      <c r="F16" s="16" t="s">
        <v>46</v>
      </c>
      <c r="G16" s="63">
        <v>0.25</v>
      </c>
      <c r="H16" s="57">
        <v>0.31</v>
      </c>
      <c r="I16" s="16">
        <v>55.6</v>
      </c>
      <c r="J16" s="16">
        <v>73.6</v>
      </c>
      <c r="K16" s="19">
        <v>58</v>
      </c>
      <c r="L16" s="26">
        <f>AVERAGE(355,320,346,315,300)</f>
        <v>327.2</v>
      </c>
      <c r="M16" s="40" t="s">
        <v>781</v>
      </c>
      <c r="N16" s="26">
        <f>AVERAGE(385,416,400,405,385,355,375,358,351,415)</f>
        <v>384.5</v>
      </c>
      <c r="O16" s="40" t="s">
        <v>781</v>
      </c>
      <c r="P16" s="26">
        <v>440</v>
      </c>
      <c r="Q16" s="40" t="s">
        <v>781</v>
      </c>
      <c r="R16" s="35" t="s">
        <v>39</v>
      </c>
      <c r="S16" s="72">
        <v>460</v>
      </c>
      <c r="T16" s="40" t="s">
        <v>781</v>
      </c>
      <c r="U16" s="35" t="s">
        <v>38</v>
      </c>
    </row>
    <row r="17" spans="1:21" ht="12" customHeight="1">
      <c r="A17" s="62" t="s">
        <v>44</v>
      </c>
      <c r="B17" s="11" t="s">
        <v>54</v>
      </c>
      <c r="C17" s="16">
        <v>28</v>
      </c>
      <c r="D17" s="19">
        <v>2.8</v>
      </c>
      <c r="E17" s="35">
        <f t="shared" si="0"/>
        <v>44.800000000000004</v>
      </c>
      <c r="F17" s="16" t="s">
        <v>46</v>
      </c>
      <c r="G17" s="63">
        <v>0.3</v>
      </c>
      <c r="H17" s="57">
        <v>0.185</v>
      </c>
      <c r="I17" s="16">
        <v>42.5</v>
      </c>
      <c r="J17" s="16">
        <v>67.4</v>
      </c>
      <c r="K17" s="19">
        <v>52</v>
      </c>
      <c r="L17" s="26">
        <f>AVERAGE(130,123,123,119,107,100,114,116)</f>
        <v>116.5</v>
      </c>
      <c r="M17" s="79" t="s">
        <v>781</v>
      </c>
      <c r="N17" s="26">
        <f>AVERAGE(170,193,203,150,163,158,170,167,169,153)</f>
        <v>169.6</v>
      </c>
      <c r="O17" s="40" t="s">
        <v>781</v>
      </c>
      <c r="P17" s="26">
        <v>160</v>
      </c>
      <c r="Q17" s="40" t="s">
        <v>781</v>
      </c>
      <c r="R17" s="35" t="s">
        <v>35</v>
      </c>
      <c r="S17" s="26">
        <v>170</v>
      </c>
      <c r="T17" s="40" t="s">
        <v>731</v>
      </c>
      <c r="U17" s="35" t="s">
        <v>33</v>
      </c>
    </row>
    <row r="18" spans="1:21" ht="12" customHeight="1">
      <c r="A18" s="62" t="s">
        <v>44</v>
      </c>
      <c r="B18" s="11" t="s">
        <v>55</v>
      </c>
      <c r="C18" s="16">
        <v>35</v>
      </c>
      <c r="D18" s="19">
        <v>1.4</v>
      </c>
      <c r="E18" s="35">
        <f t="shared" si="0"/>
        <v>56</v>
      </c>
      <c r="F18" s="16" t="s">
        <v>46</v>
      </c>
      <c r="G18" s="63">
        <v>0.3</v>
      </c>
      <c r="H18" s="57">
        <v>0.58</v>
      </c>
      <c r="I18" s="16">
        <v>86</v>
      </c>
      <c r="J18" s="16">
        <v>79</v>
      </c>
      <c r="K18" s="19">
        <v>72</v>
      </c>
      <c r="L18" s="26">
        <f>AVERAGE(900,900,875,911,920,900,840,960,971,895,940)</f>
        <v>910.1818181818181</v>
      </c>
      <c r="M18" s="79" t="s">
        <v>731</v>
      </c>
      <c r="N18" s="26">
        <f>AVERAGE(1290,1187,1175,1049,1200,1120,1225,1125,1191)</f>
        <v>1173.5555555555557</v>
      </c>
      <c r="O18" s="40" t="s">
        <v>781</v>
      </c>
      <c r="P18" s="26" t="s">
        <v>20</v>
      </c>
      <c r="Q18" s="40" t="s">
        <v>20</v>
      </c>
      <c r="R18" s="35" t="s">
        <v>20</v>
      </c>
      <c r="S18" s="26">
        <v>1195</v>
      </c>
      <c r="T18" s="40" t="s">
        <v>731</v>
      </c>
      <c r="U18" s="35" t="s">
        <v>34</v>
      </c>
    </row>
    <row r="19" spans="1:21" ht="12" customHeight="1">
      <c r="A19" s="64" t="s">
        <v>44</v>
      </c>
      <c r="B19" s="23" t="s">
        <v>522</v>
      </c>
      <c r="C19" s="28">
        <v>35</v>
      </c>
      <c r="D19" s="45">
        <v>2</v>
      </c>
      <c r="E19" s="37">
        <f t="shared" si="0"/>
        <v>56</v>
      </c>
      <c r="F19" s="28" t="s">
        <v>46</v>
      </c>
      <c r="G19" s="60">
        <v>0.25</v>
      </c>
      <c r="H19" s="61">
        <v>0.21</v>
      </c>
      <c r="I19" s="28">
        <v>42.5</v>
      </c>
      <c r="J19" s="28">
        <v>67.4</v>
      </c>
      <c r="K19" s="45">
        <v>52</v>
      </c>
      <c r="L19" s="27">
        <f>AVERAGE(183,183,189,185,185,178,167,149,178,164,170)</f>
        <v>175.54545454545453</v>
      </c>
      <c r="M19" s="154" t="s">
        <v>601</v>
      </c>
      <c r="N19" s="27">
        <f>AVERAGE(280,218,280,285,247,266,238,220,235)</f>
        <v>252.11111111111111</v>
      </c>
      <c r="O19" s="25" t="s">
        <v>781</v>
      </c>
      <c r="P19" s="27">
        <v>250</v>
      </c>
      <c r="Q19" s="25" t="s">
        <v>781</v>
      </c>
      <c r="R19" s="37" t="s">
        <v>702</v>
      </c>
      <c r="S19" s="27">
        <v>260</v>
      </c>
      <c r="T19" s="25" t="s">
        <v>767</v>
      </c>
      <c r="U19" s="37" t="s">
        <v>38</v>
      </c>
    </row>
    <row r="20" spans="1:21" ht="12" customHeight="1">
      <c r="A20" s="62" t="s">
        <v>44</v>
      </c>
      <c r="B20" s="11" t="s">
        <v>56</v>
      </c>
      <c r="C20" s="16">
        <v>45</v>
      </c>
      <c r="D20" s="19">
        <v>2.8</v>
      </c>
      <c r="E20" s="35">
        <f t="shared" si="0"/>
        <v>72</v>
      </c>
      <c r="F20" s="16" t="s">
        <v>52</v>
      </c>
      <c r="G20" s="63">
        <v>0.4</v>
      </c>
      <c r="H20" s="57">
        <v>0.645</v>
      </c>
      <c r="I20" s="16">
        <v>90.1</v>
      </c>
      <c r="J20" s="16">
        <v>81</v>
      </c>
      <c r="K20" s="19">
        <v>72</v>
      </c>
      <c r="L20" s="26">
        <f>AVERAGE(760,821,865)</f>
        <v>815.3333333333334</v>
      </c>
      <c r="M20" s="79" t="s">
        <v>516</v>
      </c>
      <c r="N20" s="26">
        <f>AVERAGE(1001,950,950,922,950,929,975,991,950)</f>
        <v>957.5555555555555</v>
      </c>
      <c r="O20" s="40" t="s">
        <v>781</v>
      </c>
      <c r="P20" s="26">
        <v>1150</v>
      </c>
      <c r="Q20" s="40" t="s">
        <v>731</v>
      </c>
      <c r="R20" s="35" t="s">
        <v>39</v>
      </c>
      <c r="S20" s="26">
        <v>1100</v>
      </c>
      <c r="T20" s="40" t="s">
        <v>704</v>
      </c>
      <c r="U20" s="35" t="s">
        <v>34</v>
      </c>
    </row>
    <row r="21" spans="1:21" ht="12" customHeight="1">
      <c r="A21" s="62" t="s">
        <v>44</v>
      </c>
      <c r="B21" s="11" t="s">
        <v>57</v>
      </c>
      <c r="C21" s="16">
        <v>50</v>
      </c>
      <c r="D21" s="19">
        <v>1</v>
      </c>
      <c r="E21" s="35">
        <f t="shared" si="0"/>
        <v>80</v>
      </c>
      <c r="F21" s="16" t="s">
        <v>46</v>
      </c>
      <c r="G21" s="63">
        <v>0.6</v>
      </c>
      <c r="H21" s="57">
        <v>0.985</v>
      </c>
      <c r="I21" s="16">
        <v>81.5</v>
      </c>
      <c r="J21" s="16">
        <v>91.5</v>
      </c>
      <c r="K21" s="19">
        <v>72</v>
      </c>
      <c r="L21" s="26">
        <f>AVERAGE(2358,1314,2500,2550,2225,2183)</f>
        <v>2188.3333333333335</v>
      </c>
      <c r="M21" s="79" t="s">
        <v>466</v>
      </c>
      <c r="N21" s="26">
        <f>AVERAGE(3740,3499,3000,2550,3499,3293,3950,3142)</f>
        <v>3334.125</v>
      </c>
      <c r="O21" s="40" t="s">
        <v>781</v>
      </c>
      <c r="P21" s="26">
        <v>3800</v>
      </c>
      <c r="Q21" s="40" t="s">
        <v>781</v>
      </c>
      <c r="R21" s="35" t="s">
        <v>38</v>
      </c>
      <c r="S21" s="26">
        <v>4460</v>
      </c>
      <c r="T21" s="40" t="s">
        <v>731</v>
      </c>
      <c r="U21" s="35" t="s">
        <v>35</v>
      </c>
    </row>
    <row r="22" spans="1:21" ht="12" customHeight="1">
      <c r="A22" s="62" t="s">
        <v>44</v>
      </c>
      <c r="B22" s="11" t="s">
        <v>287</v>
      </c>
      <c r="C22" s="16">
        <v>50</v>
      </c>
      <c r="D22" s="19">
        <v>1.2</v>
      </c>
      <c r="E22" s="35">
        <f t="shared" si="0"/>
        <v>80</v>
      </c>
      <c r="F22" s="16" t="s">
        <v>46</v>
      </c>
      <c r="G22" s="63">
        <v>0.45</v>
      </c>
      <c r="H22" s="57">
        <v>0.545</v>
      </c>
      <c r="I22" s="16">
        <v>65</v>
      </c>
      <c r="J22" s="16">
        <v>85</v>
      </c>
      <c r="K22" s="19">
        <v>72</v>
      </c>
      <c r="L22" s="26">
        <f>AVERAGE(1201,1161,1034,1082)</f>
        <v>1119.5</v>
      </c>
      <c r="M22" s="79" t="s">
        <v>731</v>
      </c>
      <c r="N22" s="26">
        <f>AVERAGE(1228,1325,1327,1100,1250,1495,1325,1295,1299,1280)</f>
        <v>1292.4</v>
      </c>
      <c r="O22" s="40" t="s">
        <v>781</v>
      </c>
      <c r="P22" s="26">
        <v>1270</v>
      </c>
      <c r="Q22" s="40" t="s">
        <v>731</v>
      </c>
      <c r="R22" s="35" t="s">
        <v>35</v>
      </c>
      <c r="S22" s="26">
        <v>1395</v>
      </c>
      <c r="T22" s="40" t="s">
        <v>751</v>
      </c>
      <c r="U22" s="35" t="s">
        <v>33</v>
      </c>
    </row>
    <row r="23" spans="1:21" ht="12" customHeight="1">
      <c r="A23" s="62" t="s">
        <v>44</v>
      </c>
      <c r="B23" s="11" t="s">
        <v>58</v>
      </c>
      <c r="C23" s="16">
        <v>50</v>
      </c>
      <c r="D23" s="19">
        <v>1.4</v>
      </c>
      <c r="E23" s="35">
        <f t="shared" si="0"/>
        <v>80</v>
      </c>
      <c r="F23" s="16" t="s">
        <v>46</v>
      </c>
      <c r="G23" s="63">
        <v>0.45</v>
      </c>
      <c r="H23" s="57">
        <v>0.29</v>
      </c>
      <c r="I23" s="16">
        <v>51</v>
      </c>
      <c r="J23" s="16">
        <v>73.8</v>
      </c>
      <c r="K23" s="19">
        <v>58</v>
      </c>
      <c r="L23" s="26">
        <f>AVERAGE(280,275,286,296,289,297,305,310,300,305,307)</f>
        <v>295.45454545454544</v>
      </c>
      <c r="M23" s="79" t="s">
        <v>781</v>
      </c>
      <c r="N23" s="26">
        <f>AVERAGE(306,405,340,391,350,391,357,335)</f>
        <v>359.375</v>
      </c>
      <c r="O23" s="40" t="s">
        <v>781</v>
      </c>
      <c r="P23" s="26">
        <v>325</v>
      </c>
      <c r="Q23" s="40" t="s">
        <v>781</v>
      </c>
      <c r="R23" s="35" t="s">
        <v>35</v>
      </c>
      <c r="S23" s="26">
        <v>325</v>
      </c>
      <c r="T23" s="40" t="s">
        <v>781</v>
      </c>
      <c r="U23" s="35" t="s">
        <v>34</v>
      </c>
    </row>
    <row r="24" spans="1:21" ht="12" customHeight="1">
      <c r="A24" s="62" t="s">
        <v>44</v>
      </c>
      <c r="B24" s="11" t="s">
        <v>59</v>
      </c>
      <c r="C24" s="16">
        <v>50</v>
      </c>
      <c r="D24" s="19">
        <v>1.8</v>
      </c>
      <c r="E24" s="35">
        <f t="shared" si="0"/>
        <v>80</v>
      </c>
      <c r="F24" s="16" t="s">
        <v>46</v>
      </c>
      <c r="G24" s="63">
        <v>0.45</v>
      </c>
      <c r="H24" s="19">
        <v>0.19</v>
      </c>
      <c r="I24" s="16">
        <v>42.5</v>
      </c>
      <c r="J24" s="16">
        <v>67.4</v>
      </c>
      <c r="K24" s="19">
        <v>52</v>
      </c>
      <c r="L24" s="26">
        <f>AVERAGE(134,143,129,120,130)</f>
        <v>131.2</v>
      </c>
      <c r="M24" s="40" t="s">
        <v>781</v>
      </c>
      <c r="N24" s="26">
        <f>AVERAGE(172,168,170,166,185,158)</f>
        <v>169.83333333333334</v>
      </c>
      <c r="O24" s="40" t="s">
        <v>781</v>
      </c>
      <c r="P24" s="26">
        <v>165</v>
      </c>
      <c r="Q24" s="40" t="s">
        <v>731</v>
      </c>
      <c r="R24" s="35" t="s">
        <v>35</v>
      </c>
      <c r="S24" s="16">
        <v>300</v>
      </c>
      <c r="T24" s="40" t="s">
        <v>601</v>
      </c>
      <c r="U24" s="35" t="s">
        <v>35</v>
      </c>
    </row>
    <row r="25" spans="1:21" s="41" customFormat="1" ht="12" customHeight="1">
      <c r="A25" s="62" t="s">
        <v>44</v>
      </c>
      <c r="B25" s="11" t="s">
        <v>60</v>
      </c>
      <c r="C25" s="16">
        <v>50</v>
      </c>
      <c r="D25" s="19">
        <v>1.8</v>
      </c>
      <c r="E25" s="35">
        <f t="shared" si="0"/>
        <v>80</v>
      </c>
      <c r="F25" s="16" t="s">
        <v>46</v>
      </c>
      <c r="G25" s="63">
        <v>0.45</v>
      </c>
      <c r="H25" s="57">
        <v>0.15</v>
      </c>
      <c r="I25" s="16">
        <v>41</v>
      </c>
      <c r="J25" s="16">
        <v>68.2</v>
      </c>
      <c r="K25" s="19">
        <v>52</v>
      </c>
      <c r="L25" s="26">
        <f>AVERAGE(67,66,66,69,60,75,76,44,75)</f>
        <v>66.44444444444444</v>
      </c>
      <c r="M25" s="40" t="s">
        <v>501</v>
      </c>
      <c r="N25" s="26">
        <f>AVERAGE(103,110,113,103,109,106,100,101,100,84,101)</f>
        <v>102.72727272727273</v>
      </c>
      <c r="O25" s="40" t="s">
        <v>781</v>
      </c>
      <c r="P25" s="26">
        <v>80</v>
      </c>
      <c r="Q25" s="40" t="s">
        <v>781</v>
      </c>
      <c r="R25" s="35" t="s">
        <v>35</v>
      </c>
      <c r="S25" s="26">
        <v>90</v>
      </c>
      <c r="T25" s="40" t="s">
        <v>781</v>
      </c>
      <c r="U25" s="35" t="s">
        <v>39</v>
      </c>
    </row>
    <row r="26" spans="1:21" ht="12" customHeight="1">
      <c r="A26" s="62" t="s">
        <v>44</v>
      </c>
      <c r="B26" s="11" t="s">
        <v>61</v>
      </c>
      <c r="C26" s="16">
        <v>50</v>
      </c>
      <c r="D26" s="19">
        <v>2.5</v>
      </c>
      <c r="E26" s="35">
        <f t="shared" si="0"/>
        <v>80</v>
      </c>
      <c r="F26" s="16" t="s">
        <v>46</v>
      </c>
      <c r="G26" s="63">
        <v>0.23</v>
      </c>
      <c r="H26" s="57">
        <v>0.28</v>
      </c>
      <c r="I26" s="16">
        <v>63</v>
      </c>
      <c r="J26" s="16">
        <v>67.6</v>
      </c>
      <c r="K26" s="19">
        <v>52</v>
      </c>
      <c r="L26" s="26">
        <f>AVERAGE(178,161,185,218,175,180,168,176)</f>
        <v>180.125</v>
      </c>
      <c r="M26" s="40" t="s">
        <v>781</v>
      </c>
      <c r="N26" s="26">
        <f>AVERAGE(249,260,203,205,198,260,250)</f>
        <v>232.14285714285714</v>
      </c>
      <c r="O26" s="40" t="s">
        <v>781</v>
      </c>
      <c r="P26" s="26">
        <v>230</v>
      </c>
      <c r="Q26" s="40" t="s">
        <v>781</v>
      </c>
      <c r="R26" s="35" t="s">
        <v>689</v>
      </c>
      <c r="S26" s="26">
        <v>250</v>
      </c>
      <c r="T26" s="40" t="s">
        <v>781</v>
      </c>
      <c r="U26" s="35" t="s">
        <v>35</v>
      </c>
    </row>
    <row r="27" spans="1:21" s="41" customFormat="1" ht="12" customHeight="1">
      <c r="A27" s="62" t="s">
        <v>44</v>
      </c>
      <c r="B27" s="11" t="s">
        <v>62</v>
      </c>
      <c r="C27" s="16" t="s">
        <v>36</v>
      </c>
      <c r="D27" s="19" t="s">
        <v>36</v>
      </c>
      <c r="E27" s="35" t="s">
        <v>36</v>
      </c>
      <c r="F27" s="16" t="s">
        <v>46</v>
      </c>
      <c r="G27" s="63" t="s">
        <v>36</v>
      </c>
      <c r="H27" s="57">
        <v>0.16</v>
      </c>
      <c r="I27" s="16">
        <v>34.9</v>
      </c>
      <c r="J27" s="16">
        <v>67.6</v>
      </c>
      <c r="K27" s="19" t="s">
        <v>36</v>
      </c>
      <c r="L27" s="26">
        <f>AVERAGE(151,150)</f>
        <v>150.5</v>
      </c>
      <c r="M27" s="40" t="s">
        <v>781</v>
      </c>
      <c r="N27" s="26">
        <f>AVERAGE(175,224,180,170)</f>
        <v>187.25</v>
      </c>
      <c r="O27" s="40" t="s">
        <v>536</v>
      </c>
      <c r="P27" s="26">
        <v>100</v>
      </c>
      <c r="Q27" s="40" t="s">
        <v>376</v>
      </c>
      <c r="R27" s="35" t="s">
        <v>35</v>
      </c>
      <c r="S27" s="26">
        <v>215</v>
      </c>
      <c r="T27" s="40" t="s">
        <v>435</v>
      </c>
      <c r="U27" s="35" t="s">
        <v>39</v>
      </c>
    </row>
    <row r="28" spans="1:21" ht="12" customHeight="1">
      <c r="A28" s="62" t="s">
        <v>44</v>
      </c>
      <c r="B28" s="11" t="s">
        <v>372</v>
      </c>
      <c r="C28" s="16">
        <v>60</v>
      </c>
      <c r="D28" s="19">
        <v>2.8</v>
      </c>
      <c r="E28" s="35">
        <f aca="true" t="shared" si="1" ref="E28:E59">1.6*C28</f>
        <v>96</v>
      </c>
      <c r="F28" s="16" t="s">
        <v>142</v>
      </c>
      <c r="G28" s="63">
        <v>0.2</v>
      </c>
      <c r="H28" s="57">
        <v>0.335</v>
      </c>
      <c r="I28" s="16">
        <v>73</v>
      </c>
      <c r="J28" s="16">
        <v>69.8</v>
      </c>
      <c r="K28" s="19">
        <v>52</v>
      </c>
      <c r="L28" s="26">
        <f>AVERAGE(250,248,265)</f>
        <v>254.33333333333334</v>
      </c>
      <c r="M28" s="40" t="s">
        <v>516</v>
      </c>
      <c r="N28" s="26">
        <f>AVERAGE(350,355,380,318,392,375,305,320,313,350)</f>
        <v>345.8</v>
      </c>
      <c r="O28" s="40" t="s">
        <v>781</v>
      </c>
      <c r="P28" s="26">
        <v>330</v>
      </c>
      <c r="Q28" s="40" t="s">
        <v>781</v>
      </c>
      <c r="R28" s="35" t="s">
        <v>39</v>
      </c>
      <c r="S28" s="26">
        <v>350</v>
      </c>
      <c r="T28" s="40" t="s">
        <v>781</v>
      </c>
      <c r="U28" s="35" t="s">
        <v>689</v>
      </c>
    </row>
    <row r="29" spans="1:21" ht="12" customHeight="1">
      <c r="A29" s="64" t="s">
        <v>44</v>
      </c>
      <c r="B29" s="23" t="s">
        <v>63</v>
      </c>
      <c r="C29" s="28">
        <v>65</v>
      </c>
      <c r="D29" s="45">
        <v>2.8</v>
      </c>
      <c r="E29" s="37">
        <f t="shared" si="1"/>
        <v>104</v>
      </c>
      <c r="F29" s="28" t="s">
        <v>52</v>
      </c>
      <c r="G29" s="60">
        <v>0.24</v>
      </c>
      <c r="H29" s="61">
        <v>0.73</v>
      </c>
      <c r="I29" s="28">
        <v>98</v>
      </c>
      <c r="J29" s="28">
        <v>61</v>
      </c>
      <c r="K29" s="45">
        <v>58</v>
      </c>
      <c r="L29" s="27">
        <f>AVERAGE(610,612,500)</f>
        <v>574</v>
      </c>
      <c r="M29" s="154" t="s">
        <v>781</v>
      </c>
      <c r="N29" s="27">
        <f>AVERAGE(750,800,810,890,900,840,761,789)</f>
        <v>817.5</v>
      </c>
      <c r="O29" s="25" t="s">
        <v>781</v>
      </c>
      <c r="P29" s="27">
        <v>820</v>
      </c>
      <c r="Q29" s="25" t="s">
        <v>781</v>
      </c>
      <c r="R29" s="37" t="s">
        <v>38</v>
      </c>
      <c r="S29" s="27">
        <v>800</v>
      </c>
      <c r="T29" s="25" t="s">
        <v>781</v>
      </c>
      <c r="U29" s="37" t="s">
        <v>689</v>
      </c>
    </row>
    <row r="30" spans="1:21" ht="12" customHeight="1">
      <c r="A30" s="62" t="s">
        <v>44</v>
      </c>
      <c r="B30" s="11" t="s">
        <v>64</v>
      </c>
      <c r="C30" s="16">
        <v>85</v>
      </c>
      <c r="D30" s="19">
        <v>1.2</v>
      </c>
      <c r="E30" s="35">
        <f t="shared" si="1"/>
        <v>136</v>
      </c>
      <c r="F30" s="16" t="s">
        <v>46</v>
      </c>
      <c r="G30" s="63">
        <v>0.95</v>
      </c>
      <c r="H30" s="57">
        <v>1.025</v>
      </c>
      <c r="I30" s="16">
        <v>84</v>
      </c>
      <c r="J30" s="16">
        <v>91.5</v>
      </c>
      <c r="K30" s="19">
        <v>72</v>
      </c>
      <c r="L30" s="26">
        <f>AVERAGE(1275,1275,1000,1150,990)</f>
        <v>1138</v>
      </c>
      <c r="M30" s="40" t="s">
        <v>781</v>
      </c>
      <c r="N30" s="26">
        <f>AVERAGE(1280,1325,1370,1325,1350,1399,1150)</f>
        <v>1314.142857142857</v>
      </c>
      <c r="O30" s="40" t="s">
        <v>781</v>
      </c>
      <c r="P30" s="26">
        <v>1480</v>
      </c>
      <c r="Q30" s="40" t="s">
        <v>781</v>
      </c>
      <c r="R30" s="35" t="s">
        <v>35</v>
      </c>
      <c r="S30" s="26">
        <v>1595</v>
      </c>
      <c r="T30" s="40" t="s">
        <v>781</v>
      </c>
      <c r="U30" s="35" t="s">
        <v>34</v>
      </c>
    </row>
    <row r="31" spans="1:21" ht="12" customHeight="1">
      <c r="A31" s="62" t="s">
        <v>44</v>
      </c>
      <c r="B31" s="11" t="s">
        <v>253</v>
      </c>
      <c r="C31" s="16">
        <v>85</v>
      </c>
      <c r="D31" s="19">
        <v>1.2</v>
      </c>
      <c r="E31" s="35">
        <f t="shared" si="1"/>
        <v>136</v>
      </c>
      <c r="F31" s="16" t="s">
        <v>46</v>
      </c>
      <c r="G31" s="63">
        <v>0.95</v>
      </c>
      <c r="H31" s="57">
        <v>1.025</v>
      </c>
      <c r="I31" s="16">
        <v>84</v>
      </c>
      <c r="J31" s="16">
        <v>91.5</v>
      </c>
      <c r="K31" s="19">
        <v>72</v>
      </c>
      <c r="L31" s="26">
        <f>AVERAGE(1400,1427,1491,1525,1550,1400,1400,1349,1100,1375)</f>
        <v>1401.7</v>
      </c>
      <c r="M31" s="40" t="s">
        <v>781</v>
      </c>
      <c r="N31" s="26">
        <f>AVERAGE(1675,1775,1700,1652,1715,1860,1752,1800,1790)</f>
        <v>1746.5555555555557</v>
      </c>
      <c r="O31" s="40" t="s">
        <v>781</v>
      </c>
      <c r="P31" s="26" t="s">
        <v>20</v>
      </c>
      <c r="Q31" s="40" t="s">
        <v>20</v>
      </c>
      <c r="R31" s="35" t="s">
        <v>20</v>
      </c>
      <c r="S31" s="26">
        <v>1800</v>
      </c>
      <c r="T31" s="40" t="s">
        <v>781</v>
      </c>
      <c r="U31" s="35" t="s">
        <v>39</v>
      </c>
    </row>
    <row r="32" spans="1:21" ht="12" customHeight="1">
      <c r="A32" s="62" t="s">
        <v>44</v>
      </c>
      <c r="B32" s="11" t="s">
        <v>65</v>
      </c>
      <c r="C32" s="16">
        <v>85</v>
      </c>
      <c r="D32" s="19">
        <v>1.8</v>
      </c>
      <c r="E32" s="35">
        <f t="shared" si="1"/>
        <v>136</v>
      </c>
      <c r="F32" s="16" t="s">
        <v>46</v>
      </c>
      <c r="G32" s="63">
        <v>0.85</v>
      </c>
      <c r="H32" s="57">
        <v>0.425</v>
      </c>
      <c r="I32" s="16">
        <v>71.5</v>
      </c>
      <c r="J32" s="16">
        <v>75</v>
      </c>
      <c r="K32" s="19">
        <v>58</v>
      </c>
      <c r="L32" s="26">
        <f>AVERAGE(300,305,318,305,324,290,316,275,285)</f>
        <v>302</v>
      </c>
      <c r="M32" s="40" t="s">
        <v>781</v>
      </c>
      <c r="N32" s="26">
        <f>AVERAGE(365,400,377,335,325,330,360,382,360,390)</f>
        <v>362.4</v>
      </c>
      <c r="O32" s="40" t="s">
        <v>781</v>
      </c>
      <c r="P32" s="26">
        <v>340</v>
      </c>
      <c r="Q32" s="40" t="s">
        <v>781</v>
      </c>
      <c r="R32" s="35" t="s">
        <v>35</v>
      </c>
      <c r="S32" s="26">
        <v>350</v>
      </c>
      <c r="T32" s="40" t="s">
        <v>781</v>
      </c>
      <c r="U32" s="35" t="s">
        <v>35</v>
      </c>
    </row>
    <row r="33" spans="1:21" ht="12" customHeight="1">
      <c r="A33" s="62" t="s">
        <v>44</v>
      </c>
      <c r="B33" s="11" t="s">
        <v>66</v>
      </c>
      <c r="C33" s="16">
        <v>90</v>
      </c>
      <c r="D33" s="19">
        <v>2.8</v>
      </c>
      <c r="E33" s="35">
        <f t="shared" si="1"/>
        <v>144</v>
      </c>
      <c r="F33" s="16" t="s">
        <v>52</v>
      </c>
      <c r="G33" s="63">
        <v>0.4</v>
      </c>
      <c r="H33" s="57">
        <v>0.565</v>
      </c>
      <c r="I33" s="16">
        <v>88</v>
      </c>
      <c r="J33" s="16">
        <v>73.6</v>
      </c>
      <c r="K33" s="19">
        <v>58</v>
      </c>
      <c r="L33" s="26">
        <f>AVERAGE(800,757,745,759,776,899,705,820)</f>
        <v>782.625</v>
      </c>
      <c r="M33" s="40" t="s">
        <v>731</v>
      </c>
      <c r="N33" s="26">
        <f>AVERAGE(863,925,925,961,1139,810,1075,850,959,1011)</f>
        <v>951.8</v>
      </c>
      <c r="O33" s="40" t="s">
        <v>781</v>
      </c>
      <c r="P33" s="26">
        <v>1000</v>
      </c>
      <c r="Q33" s="40" t="s">
        <v>781</v>
      </c>
      <c r="R33" s="35" t="s">
        <v>35</v>
      </c>
      <c r="S33" s="26">
        <v>1050</v>
      </c>
      <c r="T33" s="40" t="s">
        <v>781</v>
      </c>
      <c r="U33" s="35" t="s">
        <v>35</v>
      </c>
    </row>
    <row r="34" spans="1:21" ht="12" customHeight="1">
      <c r="A34" s="62" t="s">
        <v>44</v>
      </c>
      <c r="B34" s="11" t="s">
        <v>67</v>
      </c>
      <c r="C34" s="16">
        <v>100</v>
      </c>
      <c r="D34" s="19">
        <v>2</v>
      </c>
      <c r="E34" s="35">
        <f t="shared" si="1"/>
        <v>160</v>
      </c>
      <c r="F34" s="16" t="s">
        <v>46</v>
      </c>
      <c r="G34" s="63">
        <v>0.9</v>
      </c>
      <c r="H34" s="57">
        <v>0.46</v>
      </c>
      <c r="I34" s="16">
        <v>73.5</v>
      </c>
      <c r="J34" s="16">
        <v>75</v>
      </c>
      <c r="K34" s="19">
        <v>58</v>
      </c>
      <c r="L34" s="26">
        <f>AVERAGE(280,301,291,288,316,285)</f>
        <v>293.5</v>
      </c>
      <c r="M34" s="40" t="s">
        <v>781</v>
      </c>
      <c r="N34" s="26">
        <f>AVERAGE(365,341,340,375,399,320,307,380,381,355,305)</f>
        <v>351.6363636363636</v>
      </c>
      <c r="O34" s="40" t="s">
        <v>731</v>
      </c>
      <c r="P34" s="26">
        <v>380</v>
      </c>
      <c r="Q34" s="40" t="s">
        <v>781</v>
      </c>
      <c r="R34" s="35" t="s">
        <v>39</v>
      </c>
      <c r="S34" s="26">
        <v>415</v>
      </c>
      <c r="T34" s="40" t="s">
        <v>704</v>
      </c>
      <c r="U34" s="35" t="s">
        <v>35</v>
      </c>
    </row>
    <row r="35" spans="1:21" ht="12" customHeight="1">
      <c r="A35" s="62" t="s">
        <v>44</v>
      </c>
      <c r="B35" s="11" t="s">
        <v>68</v>
      </c>
      <c r="C35" s="16">
        <v>100</v>
      </c>
      <c r="D35" s="19">
        <v>2.8</v>
      </c>
      <c r="E35" s="35">
        <f t="shared" si="1"/>
        <v>160</v>
      </c>
      <c r="F35" s="16" t="s">
        <v>46</v>
      </c>
      <c r="G35" s="63">
        <v>0.31</v>
      </c>
      <c r="H35" s="57">
        <v>0.6</v>
      </c>
      <c r="I35" s="16">
        <v>119</v>
      </c>
      <c r="J35" s="16">
        <v>79</v>
      </c>
      <c r="K35" s="19">
        <v>58</v>
      </c>
      <c r="L35" s="26">
        <f>AVERAGE(350,350,331,425,259,338,350,300,360,358,301)</f>
        <v>338.3636363636364</v>
      </c>
      <c r="M35" s="40" t="s">
        <v>781</v>
      </c>
      <c r="N35" s="26">
        <f>AVERAGE(392,400,360,427,364,320,400,380,395)</f>
        <v>382</v>
      </c>
      <c r="O35" s="40" t="s">
        <v>781</v>
      </c>
      <c r="P35" s="26">
        <v>300</v>
      </c>
      <c r="Q35" s="40" t="s">
        <v>731</v>
      </c>
      <c r="R35" s="35" t="s">
        <v>35</v>
      </c>
      <c r="S35" s="26">
        <v>400</v>
      </c>
      <c r="T35" s="40" t="s">
        <v>781</v>
      </c>
      <c r="U35" s="35" t="s">
        <v>35</v>
      </c>
    </row>
    <row r="36" spans="1:21" ht="12" customHeight="1">
      <c r="A36" s="62" t="s">
        <v>44</v>
      </c>
      <c r="B36" s="11" t="s">
        <v>69</v>
      </c>
      <c r="C36" s="16">
        <v>100</v>
      </c>
      <c r="D36" s="19">
        <v>2.8</v>
      </c>
      <c r="E36" s="35">
        <f t="shared" si="1"/>
        <v>160</v>
      </c>
      <c r="F36" s="16" t="s">
        <v>46</v>
      </c>
      <c r="G36" s="63">
        <v>0.31</v>
      </c>
      <c r="H36" s="57">
        <v>0.6</v>
      </c>
      <c r="I36" s="16">
        <v>119</v>
      </c>
      <c r="J36" s="16">
        <v>79</v>
      </c>
      <c r="K36" s="19">
        <v>58</v>
      </c>
      <c r="L36" s="26">
        <f>AVERAGE(370,400,367,359,400,400,405)</f>
        <v>385.85714285714283</v>
      </c>
      <c r="M36" s="40" t="s">
        <v>781</v>
      </c>
      <c r="N36" s="26">
        <f>AVERAGE(450,400,480,410,452,450,496)</f>
        <v>448.2857142857143</v>
      </c>
      <c r="O36" s="40" t="s">
        <v>781</v>
      </c>
      <c r="P36" s="26">
        <v>400</v>
      </c>
      <c r="Q36" s="40" t="s">
        <v>781</v>
      </c>
      <c r="R36" s="35" t="s">
        <v>701</v>
      </c>
      <c r="S36" s="26">
        <v>450</v>
      </c>
      <c r="T36" s="40" t="s">
        <v>781</v>
      </c>
      <c r="U36" s="35" t="s">
        <v>33</v>
      </c>
    </row>
    <row r="37" spans="1:21" ht="12" customHeight="1">
      <c r="A37" s="64" t="s">
        <v>44</v>
      </c>
      <c r="B37" s="23" t="s">
        <v>592</v>
      </c>
      <c r="C37" s="28">
        <v>100</v>
      </c>
      <c r="D37" s="45">
        <v>2.8</v>
      </c>
      <c r="E37" s="37">
        <f t="shared" si="1"/>
        <v>160</v>
      </c>
      <c r="F37" s="28" t="s">
        <v>46</v>
      </c>
      <c r="G37" s="60">
        <v>0.3</v>
      </c>
      <c r="H37" s="61">
        <v>0.625</v>
      </c>
      <c r="I37" s="28">
        <v>123</v>
      </c>
      <c r="J37" s="28">
        <v>77.7</v>
      </c>
      <c r="K37" s="45">
        <v>67</v>
      </c>
      <c r="L37" s="27">
        <f>AVERAGE(820,799)</f>
        <v>809.5</v>
      </c>
      <c r="M37" s="154" t="s">
        <v>781</v>
      </c>
      <c r="N37" s="89">
        <f>AVERAGE(920,884,900,884)</f>
        <v>897</v>
      </c>
      <c r="O37" s="25" t="s">
        <v>781</v>
      </c>
      <c r="P37" s="27">
        <v>875</v>
      </c>
      <c r="Q37" s="25" t="s">
        <v>781</v>
      </c>
      <c r="R37" s="37" t="s">
        <v>39</v>
      </c>
      <c r="S37" s="89">
        <v>960</v>
      </c>
      <c r="T37" s="25" t="s">
        <v>781</v>
      </c>
      <c r="U37" s="37" t="s">
        <v>35</v>
      </c>
    </row>
    <row r="38" spans="1:21" ht="12" customHeight="1">
      <c r="A38" s="62" t="s">
        <v>44</v>
      </c>
      <c r="B38" s="11" t="s">
        <v>70</v>
      </c>
      <c r="C38" s="16">
        <v>135</v>
      </c>
      <c r="D38" s="19">
        <v>2</v>
      </c>
      <c r="E38" s="35">
        <f t="shared" si="1"/>
        <v>216</v>
      </c>
      <c r="F38" s="16" t="s">
        <v>46</v>
      </c>
      <c r="G38" s="63">
        <v>0.9</v>
      </c>
      <c r="H38" s="57">
        <v>0.75</v>
      </c>
      <c r="I38" s="16">
        <v>112</v>
      </c>
      <c r="J38" s="16">
        <v>82.5</v>
      </c>
      <c r="K38" s="19">
        <v>72</v>
      </c>
      <c r="L38" s="26">
        <f>AVERAGE(801,818,810,795,850,816,775,750)</f>
        <v>801.875</v>
      </c>
      <c r="M38" s="16" t="s">
        <v>781</v>
      </c>
      <c r="N38" s="26">
        <f>AVERAGE(912,850,981,950,899,877,930,926,925,850,856)</f>
        <v>905.0909090909091</v>
      </c>
      <c r="O38" s="16" t="s">
        <v>781</v>
      </c>
      <c r="P38" s="26">
        <v>865</v>
      </c>
      <c r="Q38" s="16" t="s">
        <v>781</v>
      </c>
      <c r="R38" s="35" t="s">
        <v>39</v>
      </c>
      <c r="S38" s="26">
        <v>895</v>
      </c>
      <c r="T38" s="16" t="s">
        <v>781</v>
      </c>
      <c r="U38" s="35" t="s">
        <v>34</v>
      </c>
    </row>
    <row r="39" spans="1:21" ht="12" customHeight="1">
      <c r="A39" s="62" t="s">
        <v>44</v>
      </c>
      <c r="B39" s="11" t="s">
        <v>71</v>
      </c>
      <c r="C39" s="16">
        <v>135</v>
      </c>
      <c r="D39" s="19">
        <v>2.8</v>
      </c>
      <c r="E39" s="35">
        <f t="shared" si="1"/>
        <v>216</v>
      </c>
      <c r="F39" s="16" t="s">
        <v>46</v>
      </c>
      <c r="G39" s="63">
        <v>1.3</v>
      </c>
      <c r="H39" s="57">
        <v>0.39</v>
      </c>
      <c r="I39" s="16">
        <v>98.4</v>
      </c>
      <c r="J39" s="16">
        <v>69.2</v>
      </c>
      <c r="K39" s="19">
        <v>52</v>
      </c>
      <c r="L39" s="26">
        <f>AVERAGE(199,188,175,203,206,228,184,189,225,225,215)</f>
        <v>203.36363636363637</v>
      </c>
      <c r="M39" s="16" t="s">
        <v>661</v>
      </c>
      <c r="N39" s="26">
        <f>AVERAGE(294,290,277,245,238,233,223,255)</f>
        <v>256.875</v>
      </c>
      <c r="O39" s="16" t="s">
        <v>781</v>
      </c>
      <c r="P39" s="26">
        <v>375</v>
      </c>
      <c r="Q39" s="16" t="s">
        <v>781</v>
      </c>
      <c r="R39" s="35" t="s">
        <v>39</v>
      </c>
      <c r="S39" s="26">
        <v>400</v>
      </c>
      <c r="T39" s="16" t="s">
        <v>781</v>
      </c>
      <c r="U39" s="35" t="s">
        <v>689</v>
      </c>
    </row>
    <row r="40" spans="1:21" ht="12" customHeight="1">
      <c r="A40" s="64" t="s">
        <v>44</v>
      </c>
      <c r="B40" s="23" t="s">
        <v>72</v>
      </c>
      <c r="C40" s="28">
        <v>180</v>
      </c>
      <c r="D40" s="45">
        <v>3.5</v>
      </c>
      <c r="E40" s="37">
        <f t="shared" si="1"/>
        <v>288</v>
      </c>
      <c r="F40" s="28" t="s">
        <v>46</v>
      </c>
      <c r="G40" s="60">
        <v>0.48</v>
      </c>
      <c r="H40" s="61">
        <v>1.09</v>
      </c>
      <c r="I40" s="28">
        <v>186.6</v>
      </c>
      <c r="J40" s="28">
        <v>82.5</v>
      </c>
      <c r="K40" s="45">
        <v>72</v>
      </c>
      <c r="L40" s="27">
        <f>AVERAGE(850,870,965,860,975,900,925,850)</f>
        <v>899.375</v>
      </c>
      <c r="M40" s="28" t="s">
        <v>781</v>
      </c>
      <c r="N40" s="27">
        <f>AVERAGE(1219,950,1008,1165,910,915,1075,917,1026,1025,1050,1075)</f>
        <v>1027.9166666666667</v>
      </c>
      <c r="O40" s="28" t="s">
        <v>781</v>
      </c>
      <c r="P40" s="27">
        <v>920</v>
      </c>
      <c r="Q40" s="25" t="s">
        <v>731</v>
      </c>
      <c r="R40" s="37" t="s">
        <v>35</v>
      </c>
      <c r="S40" s="27">
        <v>1000</v>
      </c>
      <c r="T40" s="28" t="s">
        <v>781</v>
      </c>
      <c r="U40" s="37" t="s">
        <v>689</v>
      </c>
    </row>
    <row r="41" spans="1:21" ht="12" customHeight="1">
      <c r="A41" s="62" t="s">
        <v>44</v>
      </c>
      <c r="B41" s="11" t="s">
        <v>778</v>
      </c>
      <c r="C41" s="16">
        <v>200</v>
      </c>
      <c r="D41" s="19">
        <v>1.8</v>
      </c>
      <c r="E41" s="35">
        <f t="shared" si="1"/>
        <v>320</v>
      </c>
      <c r="F41" s="16" t="s">
        <v>46</v>
      </c>
      <c r="G41" s="63">
        <v>2.5</v>
      </c>
      <c r="H41" s="57">
        <v>3</v>
      </c>
      <c r="I41" s="16">
        <v>208</v>
      </c>
      <c r="J41" s="16">
        <v>129.5</v>
      </c>
      <c r="K41" s="19" t="s">
        <v>73</v>
      </c>
      <c r="L41" s="26">
        <f>AVERAGE(3100,3051,3456,3598,3060,3800,3351,3200,2899,3395)</f>
        <v>3291</v>
      </c>
      <c r="M41" s="40" t="s">
        <v>781</v>
      </c>
      <c r="N41" s="26">
        <f>AVERAGE(3500,4100,3589,3589,4100,4195,4275)</f>
        <v>3906.8571428571427</v>
      </c>
      <c r="O41" s="40" t="s">
        <v>781</v>
      </c>
      <c r="P41" s="44">
        <v>4460</v>
      </c>
      <c r="Q41" s="130" t="s">
        <v>668</v>
      </c>
      <c r="R41" s="90" t="s">
        <v>35</v>
      </c>
      <c r="S41" s="44">
        <v>5600</v>
      </c>
      <c r="T41" s="130" t="s">
        <v>466</v>
      </c>
      <c r="U41" s="90" t="s">
        <v>35</v>
      </c>
    </row>
    <row r="42" spans="1:21" ht="12" customHeight="1">
      <c r="A42" s="62" t="s">
        <v>44</v>
      </c>
      <c r="B42" s="11" t="s">
        <v>425</v>
      </c>
      <c r="C42" s="16">
        <v>200</v>
      </c>
      <c r="D42" s="19">
        <v>2</v>
      </c>
      <c r="E42" s="35">
        <f t="shared" si="1"/>
        <v>320</v>
      </c>
      <c r="F42" s="16" t="s">
        <v>46</v>
      </c>
      <c r="G42" s="63">
        <v>1.9</v>
      </c>
      <c r="H42" s="57">
        <v>2.5</v>
      </c>
      <c r="I42" s="16">
        <v>208</v>
      </c>
      <c r="J42" s="16">
        <v>128</v>
      </c>
      <c r="K42" s="19" t="s">
        <v>78</v>
      </c>
      <c r="L42" s="26">
        <f>AVERAGE(4300,4325)</f>
        <v>4312.5</v>
      </c>
      <c r="M42" s="40" t="s">
        <v>781</v>
      </c>
      <c r="N42" s="26">
        <f>AVERAGE(4999,5000,5799)</f>
        <v>5266</v>
      </c>
      <c r="O42" s="40" t="s">
        <v>667</v>
      </c>
      <c r="P42" s="26" t="s">
        <v>20</v>
      </c>
      <c r="Q42" s="40" t="s">
        <v>20</v>
      </c>
      <c r="R42" s="35" t="s">
        <v>20</v>
      </c>
      <c r="S42" s="26">
        <v>5000</v>
      </c>
      <c r="T42" s="40" t="s">
        <v>781</v>
      </c>
      <c r="U42" s="35" t="s">
        <v>35</v>
      </c>
    </row>
    <row r="43" spans="1:21" ht="12" customHeight="1">
      <c r="A43" s="62" t="s">
        <v>44</v>
      </c>
      <c r="B43" s="11" t="s">
        <v>74</v>
      </c>
      <c r="C43" s="16">
        <v>200</v>
      </c>
      <c r="D43" s="19">
        <v>2.8</v>
      </c>
      <c r="E43" s="35">
        <f t="shared" si="1"/>
        <v>320</v>
      </c>
      <c r="F43" s="16" t="s">
        <v>46</v>
      </c>
      <c r="G43" s="63">
        <v>1.5</v>
      </c>
      <c r="H43" s="57">
        <v>0.79</v>
      </c>
      <c r="I43" s="16">
        <v>136.2</v>
      </c>
      <c r="J43" s="16">
        <v>83.2</v>
      </c>
      <c r="K43" s="19">
        <v>72</v>
      </c>
      <c r="L43" s="26">
        <f>AVERAGE(475,430,461,400,441,485,465,511,482,455)</f>
        <v>460.5</v>
      </c>
      <c r="M43" s="40" t="s">
        <v>781</v>
      </c>
      <c r="N43" s="26">
        <f>AVERAGE(495,559,551,466,480,515,500,541,588)</f>
        <v>521.6666666666666</v>
      </c>
      <c r="O43" s="40" t="s">
        <v>661</v>
      </c>
      <c r="P43" s="26">
        <v>525</v>
      </c>
      <c r="Q43" s="40" t="s">
        <v>523</v>
      </c>
      <c r="R43" s="35" t="s">
        <v>35</v>
      </c>
      <c r="S43" s="26">
        <v>550</v>
      </c>
      <c r="T43" s="40" t="s">
        <v>661</v>
      </c>
      <c r="U43" s="35" t="s">
        <v>658</v>
      </c>
    </row>
    <row r="44" spans="1:21" ht="12" customHeight="1">
      <c r="A44" s="62" t="s">
        <v>44</v>
      </c>
      <c r="B44" s="11" t="s">
        <v>75</v>
      </c>
      <c r="C44" s="16">
        <v>200</v>
      </c>
      <c r="D44" s="19">
        <v>2.8</v>
      </c>
      <c r="E44" s="35">
        <f t="shared" si="1"/>
        <v>320</v>
      </c>
      <c r="F44" s="16" t="s">
        <v>46</v>
      </c>
      <c r="G44" s="63">
        <v>1.5</v>
      </c>
      <c r="H44" s="57">
        <v>0.765</v>
      </c>
      <c r="I44" s="16">
        <v>136.2</v>
      </c>
      <c r="J44" s="16">
        <v>83.2</v>
      </c>
      <c r="K44" s="19">
        <v>72</v>
      </c>
      <c r="L44" s="26">
        <f>AVERAGE(542,510,530,500,397,455,440,475,480,512)</f>
        <v>484.1</v>
      </c>
      <c r="M44" s="40" t="s">
        <v>731</v>
      </c>
      <c r="N44" s="26">
        <f>AVERAGE(574,575,640,587,600,640,650,575)</f>
        <v>605.125</v>
      </c>
      <c r="O44" s="40" t="s">
        <v>781</v>
      </c>
      <c r="P44" s="26">
        <v>700</v>
      </c>
      <c r="Q44" s="40" t="s">
        <v>781</v>
      </c>
      <c r="R44" s="35" t="s">
        <v>39</v>
      </c>
      <c r="S44" s="26">
        <v>695</v>
      </c>
      <c r="T44" s="40" t="s">
        <v>704</v>
      </c>
      <c r="U44" s="35" t="s">
        <v>37</v>
      </c>
    </row>
    <row r="45" spans="1:21" ht="12" customHeight="1">
      <c r="A45" s="62" t="s">
        <v>44</v>
      </c>
      <c r="B45" s="11" t="s">
        <v>76</v>
      </c>
      <c r="C45" s="16">
        <v>300</v>
      </c>
      <c r="D45" s="19">
        <v>2.8</v>
      </c>
      <c r="E45" s="35">
        <f t="shared" si="1"/>
        <v>480</v>
      </c>
      <c r="F45" s="16" t="s">
        <v>46</v>
      </c>
      <c r="G45" s="63">
        <v>3</v>
      </c>
      <c r="H45" s="57">
        <v>2.855</v>
      </c>
      <c r="I45" s="16">
        <v>253</v>
      </c>
      <c r="J45" s="16">
        <v>125</v>
      </c>
      <c r="K45" s="19" t="s">
        <v>73</v>
      </c>
      <c r="L45" s="26">
        <f>AVERAGE(1825,2050,2075,2499,2175,2145,2025)</f>
        <v>2113.4285714285716</v>
      </c>
      <c r="M45" s="40" t="s">
        <v>781</v>
      </c>
      <c r="N45" s="26">
        <f>AVERAGE(2699,2799,2660,2810,2810,2475,2701,2700,2599)</f>
        <v>2694.777777777778</v>
      </c>
      <c r="O45" s="40" t="s">
        <v>731</v>
      </c>
      <c r="P45" s="26">
        <v>2700</v>
      </c>
      <c r="Q45" s="40" t="s">
        <v>781</v>
      </c>
      <c r="R45" s="35" t="s">
        <v>35</v>
      </c>
      <c r="S45" s="26">
        <v>3200</v>
      </c>
      <c r="T45" s="40" t="s">
        <v>704</v>
      </c>
      <c r="U45" s="35" t="s">
        <v>39</v>
      </c>
    </row>
    <row r="46" spans="1:21" ht="12" customHeight="1">
      <c r="A46" s="62" t="s">
        <v>44</v>
      </c>
      <c r="B46" s="11" t="s">
        <v>77</v>
      </c>
      <c r="C46" s="16">
        <v>300</v>
      </c>
      <c r="D46" s="19">
        <v>2.8</v>
      </c>
      <c r="E46" s="35">
        <f t="shared" si="1"/>
        <v>480</v>
      </c>
      <c r="F46" s="16" t="s">
        <v>46</v>
      </c>
      <c r="G46" s="63">
        <v>2.5</v>
      </c>
      <c r="H46" s="57">
        <v>2.55</v>
      </c>
      <c r="I46" s="16">
        <v>252</v>
      </c>
      <c r="J46" s="16">
        <v>128</v>
      </c>
      <c r="K46" s="19" t="s">
        <v>78</v>
      </c>
      <c r="L46" s="26">
        <f>AVERAGE(3200,2950,3395,3300,2900,3201,2700,2556,3310)</f>
        <v>3056.8888888888887</v>
      </c>
      <c r="M46" s="40" t="s">
        <v>781</v>
      </c>
      <c r="N46" s="26">
        <f>AVERAGE(3609,3750,3899,3850,3600,3605,3500,3365)</f>
        <v>3647.25</v>
      </c>
      <c r="O46" s="40" t="s">
        <v>781</v>
      </c>
      <c r="P46" s="26">
        <v>3650</v>
      </c>
      <c r="Q46" s="40" t="s">
        <v>781</v>
      </c>
      <c r="R46" s="35" t="s">
        <v>35</v>
      </c>
      <c r="S46" s="72">
        <v>4300</v>
      </c>
      <c r="T46" s="40" t="s">
        <v>552</v>
      </c>
      <c r="U46" s="35" t="s">
        <v>35</v>
      </c>
    </row>
    <row r="47" spans="1:21" ht="12" customHeight="1">
      <c r="A47" s="62" t="s">
        <v>44</v>
      </c>
      <c r="B47" s="11" t="s">
        <v>79</v>
      </c>
      <c r="C47" s="16">
        <v>300</v>
      </c>
      <c r="D47" s="19">
        <v>4</v>
      </c>
      <c r="E47" s="35">
        <f t="shared" si="1"/>
        <v>480</v>
      </c>
      <c r="F47" s="16" t="s">
        <v>46</v>
      </c>
      <c r="G47" s="63">
        <v>2.5</v>
      </c>
      <c r="H47" s="57">
        <v>1.165</v>
      </c>
      <c r="I47" s="16">
        <v>213.5</v>
      </c>
      <c r="J47" s="16">
        <v>90</v>
      </c>
      <c r="K47" s="19">
        <v>77</v>
      </c>
      <c r="L47" s="26">
        <f>AVERAGE(446,590,476,711,700,630,700,650,740)</f>
        <v>627</v>
      </c>
      <c r="M47" s="40" t="s">
        <v>516</v>
      </c>
      <c r="N47" s="26">
        <f>AVERAGE(835,817,750,866,750,766,750,856)</f>
        <v>798.75</v>
      </c>
      <c r="O47" s="40" t="s">
        <v>781</v>
      </c>
      <c r="P47" s="26">
        <v>710</v>
      </c>
      <c r="Q47" s="40" t="s">
        <v>781</v>
      </c>
      <c r="R47" s="35" t="s">
        <v>33</v>
      </c>
      <c r="S47" s="26">
        <v>800</v>
      </c>
      <c r="T47" s="40" t="s">
        <v>781</v>
      </c>
      <c r="U47" s="35" t="s">
        <v>689</v>
      </c>
    </row>
    <row r="48" spans="1:21" ht="12" customHeight="1">
      <c r="A48" s="64" t="s">
        <v>44</v>
      </c>
      <c r="B48" s="23" t="s">
        <v>779</v>
      </c>
      <c r="C48" s="28">
        <v>300</v>
      </c>
      <c r="D48" s="45">
        <v>4</v>
      </c>
      <c r="E48" s="37">
        <f t="shared" si="1"/>
        <v>480</v>
      </c>
      <c r="F48" s="28" t="s">
        <v>46</v>
      </c>
      <c r="G48" s="60">
        <v>1.5</v>
      </c>
      <c r="H48" s="61">
        <v>1.19</v>
      </c>
      <c r="I48" s="28">
        <v>221</v>
      </c>
      <c r="J48" s="28">
        <v>90</v>
      </c>
      <c r="K48" s="45">
        <v>77</v>
      </c>
      <c r="L48" s="27">
        <f>AVERAGE(869,760,733,835,799,886,830,860,850,849)</f>
        <v>827.1</v>
      </c>
      <c r="M48" s="154" t="s">
        <v>781</v>
      </c>
      <c r="N48" s="27">
        <f>AVERAGE(950,975,909,940,935,1051,965,1025)</f>
        <v>968.75</v>
      </c>
      <c r="O48" s="25" t="s">
        <v>781</v>
      </c>
      <c r="P48" s="27">
        <v>1080</v>
      </c>
      <c r="Q48" s="25" t="s">
        <v>781</v>
      </c>
      <c r="R48" s="37" t="s">
        <v>35</v>
      </c>
      <c r="S48" s="27">
        <v>1150</v>
      </c>
      <c r="T48" s="25" t="s">
        <v>781</v>
      </c>
      <c r="U48" s="37" t="s">
        <v>34</v>
      </c>
    </row>
    <row r="49" spans="1:21" s="41" customFormat="1" ht="12" customHeight="1">
      <c r="A49" s="62" t="s">
        <v>44</v>
      </c>
      <c r="B49" s="11" t="s">
        <v>80</v>
      </c>
      <c r="C49" s="16">
        <v>400</v>
      </c>
      <c r="D49" s="19">
        <v>2.8</v>
      </c>
      <c r="E49" s="35">
        <f t="shared" si="1"/>
        <v>640</v>
      </c>
      <c r="F49" s="16" t="s">
        <v>46</v>
      </c>
      <c r="G49" s="63">
        <v>4</v>
      </c>
      <c r="H49" s="57">
        <v>6.1</v>
      </c>
      <c r="I49" s="16">
        <v>348</v>
      </c>
      <c r="J49" s="16">
        <v>167</v>
      </c>
      <c r="K49" s="19" t="s">
        <v>73</v>
      </c>
      <c r="L49" s="26">
        <f>AVERAGE(2817,3550,3399,3601,3250,3201,2700,3000,2500)</f>
        <v>3113.1111111111113</v>
      </c>
      <c r="M49" s="16" t="s">
        <v>781</v>
      </c>
      <c r="N49" s="26">
        <f>AVERAGE(3499,4016,4289,3900,3700,4995,3813,3650,4050)</f>
        <v>3990.222222222222</v>
      </c>
      <c r="O49" s="16" t="s">
        <v>704</v>
      </c>
      <c r="P49" s="26">
        <v>3650</v>
      </c>
      <c r="Q49" s="16" t="s">
        <v>781</v>
      </c>
      <c r="R49" s="35" t="s">
        <v>35</v>
      </c>
      <c r="S49" s="26">
        <v>5000</v>
      </c>
      <c r="T49" s="16" t="s">
        <v>362</v>
      </c>
      <c r="U49" s="35" t="s">
        <v>35</v>
      </c>
    </row>
    <row r="50" spans="1:21" ht="12" customHeight="1">
      <c r="A50" s="62" t="s">
        <v>44</v>
      </c>
      <c r="B50" s="11" t="s">
        <v>81</v>
      </c>
      <c r="C50" s="16">
        <v>400</v>
      </c>
      <c r="D50" s="19">
        <v>2.8</v>
      </c>
      <c r="E50" s="35">
        <f t="shared" si="1"/>
        <v>640</v>
      </c>
      <c r="F50" s="16" t="s">
        <v>46</v>
      </c>
      <c r="G50" s="63">
        <v>4</v>
      </c>
      <c r="H50" s="57">
        <v>5.91</v>
      </c>
      <c r="I50" s="16">
        <v>348</v>
      </c>
      <c r="J50" s="16">
        <v>167</v>
      </c>
      <c r="K50" s="19" t="s">
        <v>73</v>
      </c>
      <c r="L50" s="26">
        <f>AVERAGE(3311,4100,3700,3750,3400,3250,3310,4252,3860)</f>
        <v>3659.222222222222</v>
      </c>
      <c r="M50" s="40" t="s">
        <v>704</v>
      </c>
      <c r="N50" s="26">
        <f>AVERAGE(4300,4699,4599,4500,4499,4750,4300,4200,4600)</f>
        <v>4494.111111111111</v>
      </c>
      <c r="O50" s="40" t="s">
        <v>731</v>
      </c>
      <c r="P50" s="26">
        <v>4000</v>
      </c>
      <c r="Q50" s="40" t="s">
        <v>731</v>
      </c>
      <c r="R50" s="43" t="s">
        <v>38</v>
      </c>
      <c r="S50" s="26" t="s">
        <v>20</v>
      </c>
      <c r="T50" s="40" t="s">
        <v>20</v>
      </c>
      <c r="U50" s="43" t="s">
        <v>20</v>
      </c>
    </row>
    <row r="51" spans="1:21" ht="12" customHeight="1">
      <c r="A51" s="62" t="s">
        <v>44</v>
      </c>
      <c r="B51" s="11" t="s">
        <v>82</v>
      </c>
      <c r="C51" s="16">
        <v>400</v>
      </c>
      <c r="D51" s="19">
        <v>2.8</v>
      </c>
      <c r="E51" s="35">
        <f t="shared" si="1"/>
        <v>640</v>
      </c>
      <c r="F51" s="16" t="s">
        <v>46</v>
      </c>
      <c r="G51" s="63">
        <v>3</v>
      </c>
      <c r="H51" s="57">
        <v>5.37</v>
      </c>
      <c r="I51" s="16">
        <v>349</v>
      </c>
      <c r="J51" s="16">
        <v>163</v>
      </c>
      <c r="K51" s="19" t="s">
        <v>78</v>
      </c>
      <c r="L51" s="26">
        <f>AVERAGE(4400,5500,4901,5000,4101,5000,5200,4800,5150,5200,5001)</f>
        <v>4932.090909090909</v>
      </c>
      <c r="M51" s="40" t="s">
        <v>731</v>
      </c>
      <c r="N51" s="26">
        <f>AVERAGE(5700,5995,6001,6699,6101,5700,6120,5595,5700,6330)</f>
        <v>5994.1</v>
      </c>
      <c r="O51" s="40" t="s">
        <v>731</v>
      </c>
      <c r="P51" s="26">
        <v>5900</v>
      </c>
      <c r="Q51" s="40" t="s">
        <v>781</v>
      </c>
      <c r="R51" s="43" t="s">
        <v>35</v>
      </c>
      <c r="S51" s="26">
        <v>6000</v>
      </c>
      <c r="T51" s="40" t="s">
        <v>767</v>
      </c>
      <c r="U51" s="43" t="s">
        <v>38</v>
      </c>
    </row>
    <row r="52" spans="1:21" ht="12" customHeight="1">
      <c r="A52" s="62" t="s">
        <v>44</v>
      </c>
      <c r="B52" s="11" t="s">
        <v>371</v>
      </c>
      <c r="C52" s="16">
        <v>400</v>
      </c>
      <c r="D52" s="19">
        <v>4</v>
      </c>
      <c r="E52" s="35">
        <f t="shared" si="1"/>
        <v>640</v>
      </c>
      <c r="F52" s="16" t="s">
        <v>46</v>
      </c>
      <c r="G52" s="63">
        <v>3.5</v>
      </c>
      <c r="H52" s="57">
        <v>1.94</v>
      </c>
      <c r="I52" s="16">
        <v>232.7</v>
      </c>
      <c r="J52" s="16">
        <v>128</v>
      </c>
      <c r="K52" s="19" t="s">
        <v>78</v>
      </c>
      <c r="L52" s="26">
        <f>AVERAGE(3750,3790,4172,3500,4149,4200,3750,3950,3195)</f>
        <v>3828.4444444444443</v>
      </c>
      <c r="M52" s="40" t="s">
        <v>781</v>
      </c>
      <c r="N52" s="26">
        <f>AVERAGE(4278,4500,4200,4595,4800,4599,4650,4599,4466,4400,4000)</f>
        <v>4462.454545454545</v>
      </c>
      <c r="O52" s="40" t="s">
        <v>781</v>
      </c>
      <c r="P52" s="26">
        <v>4700</v>
      </c>
      <c r="Q52" s="40" t="s">
        <v>704</v>
      </c>
      <c r="R52" s="43" t="s">
        <v>39</v>
      </c>
      <c r="S52" s="26">
        <v>4940</v>
      </c>
      <c r="T52" s="40" t="s">
        <v>667</v>
      </c>
      <c r="U52" s="43" t="s">
        <v>649</v>
      </c>
    </row>
    <row r="53" spans="1:21" ht="12" customHeight="1">
      <c r="A53" s="62" t="s">
        <v>44</v>
      </c>
      <c r="B53" s="11" t="s">
        <v>83</v>
      </c>
      <c r="C53" s="16">
        <v>400</v>
      </c>
      <c r="D53" s="19">
        <v>5.6</v>
      </c>
      <c r="E53" s="35">
        <f t="shared" si="1"/>
        <v>640</v>
      </c>
      <c r="F53" s="16" t="s">
        <v>46</v>
      </c>
      <c r="G53" s="63">
        <v>3.5</v>
      </c>
      <c r="H53" s="57">
        <v>1.25</v>
      </c>
      <c r="I53" s="16">
        <v>256.6</v>
      </c>
      <c r="J53" s="16">
        <v>90</v>
      </c>
      <c r="K53" s="19">
        <v>77</v>
      </c>
      <c r="L53" s="26">
        <f>AVERAGE(941,889,800,875,860,885,825,812,910)</f>
        <v>866.3333333333334</v>
      </c>
      <c r="M53" s="40" t="s">
        <v>781</v>
      </c>
      <c r="N53" s="26">
        <f>AVERAGE(940,1200,1175,976,1075,1008,1075,997,1045,1085)</f>
        <v>1057.6</v>
      </c>
      <c r="O53" s="40" t="s">
        <v>781</v>
      </c>
      <c r="P53" s="26">
        <v>1035</v>
      </c>
      <c r="Q53" s="40" t="s">
        <v>781</v>
      </c>
      <c r="R53" s="35" t="s">
        <v>35</v>
      </c>
      <c r="S53" s="26">
        <v>1100</v>
      </c>
      <c r="T53" s="40" t="s">
        <v>781</v>
      </c>
      <c r="U53" s="35" t="s">
        <v>33</v>
      </c>
    </row>
    <row r="54" spans="1:21" ht="12" customHeight="1">
      <c r="A54" s="62" t="s">
        <v>44</v>
      </c>
      <c r="B54" s="11" t="s">
        <v>84</v>
      </c>
      <c r="C54" s="16">
        <v>500</v>
      </c>
      <c r="D54" s="19">
        <v>4</v>
      </c>
      <c r="E54" s="35">
        <f t="shared" si="1"/>
        <v>800</v>
      </c>
      <c r="F54" s="16" t="s">
        <v>46</v>
      </c>
      <c r="G54" s="63">
        <v>4.5</v>
      </c>
      <c r="H54" s="57">
        <v>3.87</v>
      </c>
      <c r="I54" s="16">
        <v>387</v>
      </c>
      <c r="J54" s="16">
        <v>146</v>
      </c>
      <c r="K54" s="19" t="s">
        <v>78</v>
      </c>
      <c r="L54" s="26">
        <f>AVERAGE(4505,4500,4350,4451,4550,4150,4837,4550)</f>
        <v>4486.625</v>
      </c>
      <c r="M54" s="40" t="s">
        <v>552</v>
      </c>
      <c r="N54" s="26">
        <f>AVERAGE(5600,4999,5110,5006,4700,4750,5100,5500)</f>
        <v>5095.625</v>
      </c>
      <c r="O54" s="40" t="s">
        <v>781</v>
      </c>
      <c r="P54" s="26">
        <v>4850</v>
      </c>
      <c r="Q54" s="40" t="s">
        <v>525</v>
      </c>
      <c r="R54" s="35" t="s">
        <v>39</v>
      </c>
      <c r="S54" s="26">
        <v>5200</v>
      </c>
      <c r="T54" s="40" t="s">
        <v>523</v>
      </c>
      <c r="U54" s="35" t="s">
        <v>35</v>
      </c>
    </row>
    <row r="55" spans="1:21" ht="12" customHeight="1">
      <c r="A55" s="64" t="s">
        <v>44</v>
      </c>
      <c r="B55" s="23" t="s">
        <v>85</v>
      </c>
      <c r="C55" s="28">
        <v>500</v>
      </c>
      <c r="D55" s="45">
        <v>4.5</v>
      </c>
      <c r="E55" s="37">
        <f t="shared" si="1"/>
        <v>800</v>
      </c>
      <c r="F55" s="28" t="s">
        <v>46</v>
      </c>
      <c r="G55" s="60">
        <v>5</v>
      </c>
      <c r="H55" s="61">
        <v>3</v>
      </c>
      <c r="I55" s="28">
        <v>390</v>
      </c>
      <c r="J55" s="28">
        <v>130</v>
      </c>
      <c r="K55" s="45" t="s">
        <v>73</v>
      </c>
      <c r="L55" s="27">
        <f>AVERAGE(2600,3299,2901,2865,3000,2885,3000,3399,3194)</f>
        <v>3015.8888888888887</v>
      </c>
      <c r="M55" s="154" t="s">
        <v>704</v>
      </c>
      <c r="N55" s="27">
        <f>AVERAGE(4100,3799,2900,3750,3550)</f>
        <v>3619.8</v>
      </c>
      <c r="O55" s="25" t="s">
        <v>553</v>
      </c>
      <c r="P55" s="27">
        <v>4300</v>
      </c>
      <c r="Q55" s="25" t="s">
        <v>781</v>
      </c>
      <c r="R55" s="37" t="s">
        <v>35</v>
      </c>
      <c r="S55" s="27">
        <v>3500</v>
      </c>
      <c r="T55" s="25" t="s">
        <v>601</v>
      </c>
      <c r="U55" s="37" t="s">
        <v>39</v>
      </c>
    </row>
    <row r="56" spans="1:21" ht="12" customHeight="1">
      <c r="A56" s="62" t="s">
        <v>44</v>
      </c>
      <c r="B56" s="11" t="s">
        <v>86</v>
      </c>
      <c r="C56" s="16">
        <v>600</v>
      </c>
      <c r="D56" s="19">
        <v>4</v>
      </c>
      <c r="E56" s="35">
        <f t="shared" si="1"/>
        <v>960</v>
      </c>
      <c r="F56" s="16" t="s">
        <v>46</v>
      </c>
      <c r="G56" s="63">
        <v>6</v>
      </c>
      <c r="H56" s="57">
        <v>6</v>
      </c>
      <c r="I56" s="16">
        <v>456</v>
      </c>
      <c r="J56" s="16">
        <v>167</v>
      </c>
      <c r="K56" s="19" t="s">
        <v>73</v>
      </c>
      <c r="L56" s="26">
        <f>AVERAGE(3400,4259,3561,3300,4100,3650,3250,3902,3500)</f>
        <v>3658</v>
      </c>
      <c r="M56" s="16" t="s">
        <v>731</v>
      </c>
      <c r="N56" s="26">
        <f>AVERAGE(4699,4500,4899,4750,4896,4000,4195,5060)</f>
        <v>4624.875</v>
      </c>
      <c r="O56" s="16" t="s">
        <v>501</v>
      </c>
      <c r="P56" s="26">
        <v>3960</v>
      </c>
      <c r="Q56" s="16" t="s">
        <v>781</v>
      </c>
      <c r="R56" s="35" t="s">
        <v>35</v>
      </c>
      <c r="S56" s="26">
        <v>5099</v>
      </c>
      <c r="T56" s="16" t="s">
        <v>525</v>
      </c>
      <c r="U56" s="35" t="s">
        <v>35</v>
      </c>
    </row>
    <row r="57" spans="1:21" ht="12" customHeight="1">
      <c r="A57" s="62" t="s">
        <v>44</v>
      </c>
      <c r="B57" s="11" t="s">
        <v>87</v>
      </c>
      <c r="C57" s="16">
        <v>600</v>
      </c>
      <c r="D57" s="19">
        <v>4</v>
      </c>
      <c r="E57" s="35">
        <f t="shared" si="1"/>
        <v>960</v>
      </c>
      <c r="F57" s="16" t="s">
        <v>46</v>
      </c>
      <c r="G57" s="63">
        <v>5.5</v>
      </c>
      <c r="H57" s="57">
        <v>5.36</v>
      </c>
      <c r="I57" s="16">
        <v>456</v>
      </c>
      <c r="J57" s="16">
        <v>168</v>
      </c>
      <c r="K57" s="19" t="s">
        <v>78</v>
      </c>
      <c r="L57" s="26">
        <f>AVERAGE(5250,5500,5800,5605,5750,5700,5102,5501,5775,5610)</f>
        <v>5559.3</v>
      </c>
      <c r="M57" s="16" t="s">
        <v>781</v>
      </c>
      <c r="N57" s="26">
        <f>AVERAGE(6500,7000,6500,6200,6534,6600,5999,6600,6703)</f>
        <v>6515.111111111111</v>
      </c>
      <c r="O57" s="16" t="s">
        <v>781</v>
      </c>
      <c r="P57" s="26">
        <v>7450</v>
      </c>
      <c r="Q57" s="16" t="s">
        <v>781</v>
      </c>
      <c r="R57" s="35" t="s">
        <v>39</v>
      </c>
      <c r="S57" s="26">
        <v>7000</v>
      </c>
      <c r="T57" s="16" t="s">
        <v>601</v>
      </c>
      <c r="U57" s="35" t="s">
        <v>39</v>
      </c>
    </row>
    <row r="58" spans="1:21" ht="12" customHeight="1">
      <c r="A58" s="62" t="s">
        <v>44</v>
      </c>
      <c r="B58" s="11" t="s">
        <v>426</v>
      </c>
      <c r="C58" s="16">
        <v>800</v>
      </c>
      <c r="D58" s="19">
        <v>5.6</v>
      </c>
      <c r="E58" s="35">
        <f t="shared" si="1"/>
        <v>1280</v>
      </c>
      <c r="F58" s="16" t="s">
        <v>20</v>
      </c>
      <c r="G58" s="63">
        <v>6</v>
      </c>
      <c r="H58" s="57">
        <v>4.5</v>
      </c>
      <c r="I58" s="16">
        <v>461</v>
      </c>
      <c r="J58" s="16">
        <v>162</v>
      </c>
      <c r="K58" s="19" t="s">
        <v>78</v>
      </c>
      <c r="L58" s="26">
        <f>AVERAGE(0)</f>
        <v>0</v>
      </c>
      <c r="M58" s="79" t="s">
        <v>20</v>
      </c>
      <c r="N58" s="26">
        <f>AVERAGE(0)</f>
        <v>0</v>
      </c>
      <c r="O58" s="40" t="s">
        <v>20</v>
      </c>
      <c r="P58" s="26" t="s">
        <v>20</v>
      </c>
      <c r="Q58" s="40" t="s">
        <v>20</v>
      </c>
      <c r="R58" s="35" t="s">
        <v>20</v>
      </c>
      <c r="S58" s="72">
        <v>12000</v>
      </c>
      <c r="T58" s="40" t="s">
        <v>501</v>
      </c>
      <c r="U58" s="35" t="s">
        <v>38</v>
      </c>
    </row>
    <row r="59" spans="1:21" ht="12" customHeight="1">
      <c r="A59" s="64" t="s">
        <v>44</v>
      </c>
      <c r="B59" s="23" t="s">
        <v>88</v>
      </c>
      <c r="C59" s="28">
        <v>1200</v>
      </c>
      <c r="D59" s="45">
        <v>5.6</v>
      </c>
      <c r="E59" s="37">
        <f t="shared" si="1"/>
        <v>1920</v>
      </c>
      <c r="F59" s="28" t="s">
        <v>46</v>
      </c>
      <c r="G59" s="60">
        <v>14</v>
      </c>
      <c r="H59" s="61">
        <v>16.5</v>
      </c>
      <c r="I59" s="28">
        <v>836</v>
      </c>
      <c r="J59" s="28">
        <v>228</v>
      </c>
      <c r="K59" s="45" t="s">
        <v>73</v>
      </c>
      <c r="L59" s="27">
        <f>AVERAGE(0)</f>
        <v>0</v>
      </c>
      <c r="M59" s="28" t="s">
        <v>20</v>
      </c>
      <c r="N59" s="27">
        <f>AVERAGE(0)</f>
        <v>0</v>
      </c>
      <c r="O59" s="28" t="s">
        <v>20</v>
      </c>
      <c r="P59" s="27" t="s">
        <v>771</v>
      </c>
      <c r="Q59" s="28" t="s">
        <v>781</v>
      </c>
      <c r="R59" s="37" t="s">
        <v>38</v>
      </c>
      <c r="S59" s="27" t="s">
        <v>20</v>
      </c>
      <c r="T59" s="28" t="s">
        <v>20</v>
      </c>
      <c r="U59" s="37" t="s">
        <v>20</v>
      </c>
    </row>
    <row r="60" spans="1:21" s="33" customFormat="1" ht="12" customHeight="1">
      <c r="A60" s="97" t="s">
        <v>502</v>
      </c>
      <c r="B60" s="98"/>
      <c r="C60" s="28" t="s">
        <v>20</v>
      </c>
      <c r="D60" s="45" t="s">
        <v>20</v>
      </c>
      <c r="E60" s="28" t="s">
        <v>20</v>
      </c>
      <c r="F60" s="28" t="s">
        <v>20</v>
      </c>
      <c r="G60" s="67" t="s">
        <v>20</v>
      </c>
      <c r="H60" s="61" t="s">
        <v>20</v>
      </c>
      <c r="I60" s="28" t="s">
        <v>20</v>
      </c>
      <c r="J60" s="28" t="s">
        <v>20</v>
      </c>
      <c r="K60" s="45" t="s">
        <v>20</v>
      </c>
      <c r="L60" s="159" t="s">
        <v>20</v>
      </c>
      <c r="M60" s="160" t="s">
        <v>20</v>
      </c>
      <c r="N60" s="161" t="s">
        <v>20</v>
      </c>
      <c r="O60" s="162" t="s">
        <v>20</v>
      </c>
      <c r="P60" s="160" t="s">
        <v>20</v>
      </c>
      <c r="Q60" s="160" t="s">
        <v>20</v>
      </c>
      <c r="R60" s="162" t="s">
        <v>20</v>
      </c>
      <c r="S60" s="45" t="s">
        <v>20</v>
      </c>
      <c r="T60" s="160" t="s">
        <v>20</v>
      </c>
      <c r="U60" s="162" t="s">
        <v>20</v>
      </c>
    </row>
    <row r="61" spans="1:21" ht="12" customHeight="1">
      <c r="A61" s="62" t="s">
        <v>44</v>
      </c>
      <c r="B61" s="11" t="s">
        <v>235</v>
      </c>
      <c r="C61" s="16" t="s">
        <v>503</v>
      </c>
      <c r="D61" s="19" t="s">
        <v>503</v>
      </c>
      <c r="E61" s="35" t="s">
        <v>503</v>
      </c>
      <c r="F61" s="16" t="s">
        <v>46</v>
      </c>
      <c r="G61" s="63" t="s">
        <v>20</v>
      </c>
      <c r="H61" s="57">
        <v>0.2</v>
      </c>
      <c r="I61" s="16">
        <v>27.3</v>
      </c>
      <c r="J61" s="16" t="s">
        <v>20</v>
      </c>
      <c r="K61" s="19" t="s">
        <v>20</v>
      </c>
      <c r="L61" s="26">
        <f>AVERAGE(180,185,170,166,210,175,163,212,191,150)</f>
        <v>180.2</v>
      </c>
      <c r="M61" s="40" t="s">
        <v>781</v>
      </c>
      <c r="N61" s="26">
        <f>AVERAGE(225,201,203,234,245,218,241,208,227)</f>
        <v>222.44444444444446</v>
      </c>
      <c r="O61" s="40" t="s">
        <v>731</v>
      </c>
      <c r="P61" s="26">
        <v>200</v>
      </c>
      <c r="Q61" s="40" t="s">
        <v>781</v>
      </c>
      <c r="R61" s="35" t="s">
        <v>689</v>
      </c>
      <c r="S61" s="26">
        <v>235</v>
      </c>
      <c r="T61" s="40" t="s">
        <v>525</v>
      </c>
      <c r="U61" s="35" t="s">
        <v>35</v>
      </c>
    </row>
    <row r="62" spans="1:21" ht="12" customHeight="1">
      <c r="A62" s="62" t="s">
        <v>44</v>
      </c>
      <c r="B62" s="11" t="s">
        <v>236</v>
      </c>
      <c r="C62" s="16" t="s">
        <v>503</v>
      </c>
      <c r="D62" s="19" t="s">
        <v>503</v>
      </c>
      <c r="E62" s="35" t="s">
        <v>503</v>
      </c>
      <c r="F62" s="16" t="s">
        <v>46</v>
      </c>
      <c r="G62" s="63" t="s">
        <v>20</v>
      </c>
      <c r="H62" s="57">
        <v>0.22</v>
      </c>
      <c r="I62" s="16">
        <v>27.2</v>
      </c>
      <c r="J62" s="16">
        <v>72.8</v>
      </c>
      <c r="K62" s="19" t="s">
        <v>20</v>
      </c>
      <c r="L62" s="26">
        <f>AVERAGE(234,230,225,194,220,200,195,219,200)</f>
        <v>213</v>
      </c>
      <c r="M62" s="40" t="s">
        <v>781</v>
      </c>
      <c r="N62" s="26">
        <f>AVERAGE(280,249,262,238,250,373,250,260)</f>
        <v>270.25</v>
      </c>
      <c r="O62" s="40" t="s">
        <v>781</v>
      </c>
      <c r="P62" s="26">
        <v>245</v>
      </c>
      <c r="Q62" s="40" t="s">
        <v>525</v>
      </c>
      <c r="R62" s="35" t="s">
        <v>35</v>
      </c>
      <c r="S62" s="26">
        <v>275</v>
      </c>
      <c r="T62" s="40" t="s">
        <v>781</v>
      </c>
      <c r="U62" s="35" t="s">
        <v>33</v>
      </c>
    </row>
    <row r="63" spans="1:21" ht="12" customHeight="1">
      <c r="A63" s="62" t="s">
        <v>44</v>
      </c>
      <c r="B63" s="11" t="s">
        <v>237</v>
      </c>
      <c r="C63" s="16" t="s">
        <v>504</v>
      </c>
      <c r="D63" s="19" t="s">
        <v>504</v>
      </c>
      <c r="E63" s="35" t="s">
        <v>504</v>
      </c>
      <c r="F63" s="16" t="s">
        <v>46</v>
      </c>
      <c r="G63" s="63" t="s">
        <v>20</v>
      </c>
      <c r="H63" s="57">
        <v>0.24</v>
      </c>
      <c r="I63" s="16">
        <v>50.5</v>
      </c>
      <c r="J63" s="16" t="s">
        <v>20</v>
      </c>
      <c r="K63" s="19" t="s">
        <v>20</v>
      </c>
      <c r="L63" s="26">
        <f>AVERAGE(158,150,175,157,203,211,223,151,144,154)</f>
        <v>172.6</v>
      </c>
      <c r="M63" s="40" t="s">
        <v>704</v>
      </c>
      <c r="N63" s="26">
        <f>AVERAGE(228,268,210,200,195,205,200,205)</f>
        <v>213.875</v>
      </c>
      <c r="O63" s="40" t="s">
        <v>731</v>
      </c>
      <c r="P63" s="26">
        <v>175</v>
      </c>
      <c r="Q63" s="40" t="s">
        <v>731</v>
      </c>
      <c r="R63" s="35" t="s">
        <v>33</v>
      </c>
      <c r="S63" s="26">
        <v>190</v>
      </c>
      <c r="T63" s="40" t="s">
        <v>720</v>
      </c>
      <c r="U63" s="35" t="s">
        <v>705</v>
      </c>
    </row>
    <row r="64" spans="1:21" ht="12" customHeight="1">
      <c r="A64" s="64" t="s">
        <v>44</v>
      </c>
      <c r="B64" s="23" t="s">
        <v>238</v>
      </c>
      <c r="C64" s="28" t="s">
        <v>504</v>
      </c>
      <c r="D64" s="45" t="s">
        <v>504</v>
      </c>
      <c r="E64" s="37" t="s">
        <v>504</v>
      </c>
      <c r="F64" s="28" t="s">
        <v>46</v>
      </c>
      <c r="G64" s="60" t="s">
        <v>20</v>
      </c>
      <c r="H64" s="61">
        <v>0.265</v>
      </c>
      <c r="I64" s="28">
        <v>57.9</v>
      </c>
      <c r="J64" s="28">
        <v>71.8</v>
      </c>
      <c r="K64" s="45" t="s">
        <v>20</v>
      </c>
      <c r="L64" s="27">
        <f>AVERAGE(243,238,233,245,210,229,200,239,200,220,250)</f>
        <v>227.9090909090909</v>
      </c>
      <c r="M64" s="28" t="s">
        <v>781</v>
      </c>
      <c r="N64" s="27">
        <f>AVERAGE(272,289,285,275,249,250,280,267)</f>
        <v>270.875</v>
      </c>
      <c r="O64" s="28" t="s">
        <v>781</v>
      </c>
      <c r="P64" s="27" t="s">
        <v>20</v>
      </c>
      <c r="Q64" s="28" t="s">
        <v>20</v>
      </c>
      <c r="R64" s="37" t="s">
        <v>20</v>
      </c>
      <c r="S64" s="27">
        <v>250</v>
      </c>
      <c r="T64" s="28" t="s">
        <v>661</v>
      </c>
      <c r="U64" s="37" t="s">
        <v>37</v>
      </c>
    </row>
    <row r="70" ht="12" customHeight="1">
      <c r="I70" s="15"/>
    </row>
  </sheetData>
  <sheetProtection password="990B" sheet="1" objects="1" scenarios="1"/>
  <conditionalFormatting sqref="T69:T65536 Q69:Q65536 O69:O65536 M69:M65536 Q1:Q64 M1:M64 T1:T64 O1:O64">
    <cfRule type="cellIs" priority="1" dxfId="0" operator="lessThan" stopIfTrue="1">
      <formula>".08-09"</formula>
    </cfRule>
  </conditionalFormatting>
  <printOptions/>
  <pageMargins left="0.3" right="0" top="0.5" bottom="0" header="0.590551181102362" footer="0.511811023622047"/>
  <pageSetup horizontalDpi="600" verticalDpi="600" orientation="landscape" r:id="rId1"/>
  <headerFooter alignWithMargins="0">
    <oddHeader>&amp;R&amp;9(&amp;P of &amp;N)</oddHead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sheetPr codeName="Sheet4"/>
  <dimension ref="A1:V39"/>
  <sheetViews>
    <sheetView workbookViewId="0" topLeftCell="A1">
      <selection activeCell="A1" sqref="A1"/>
    </sheetView>
  </sheetViews>
  <sheetFormatPr defaultColWidth="9.140625" defaultRowHeight="12" customHeight="1"/>
  <cols>
    <col min="1" max="1" width="5.57421875" style="41" customWidth="1"/>
    <col min="2" max="2" width="20.7109375" style="68" customWidth="1"/>
    <col min="3" max="3" width="6.28125" style="40" customWidth="1"/>
    <col min="4" max="4" width="6.7109375" style="40" customWidth="1"/>
    <col min="5" max="5" width="8.00390625" style="40" customWidth="1"/>
    <col min="6" max="6" width="4.421875" style="40" customWidth="1"/>
    <col min="7" max="7" width="4.7109375" style="48" customWidth="1"/>
    <col min="8" max="8" width="4.7109375" style="57" customWidth="1"/>
    <col min="9" max="11" width="4.7109375" style="16" customWidth="1"/>
    <col min="12" max="12" width="5.28125" style="16" customWidth="1"/>
    <col min="13" max="13" width="5.28125" style="19" customWidth="1"/>
    <col min="14" max="14" width="5.28125" style="16" customWidth="1"/>
    <col min="15" max="15" width="5.28125" style="19" customWidth="1"/>
    <col min="16" max="16" width="5.28125" style="16" customWidth="1"/>
    <col min="17" max="17" width="5.28125" style="19" customWidth="1"/>
    <col min="18" max="18" width="6.57421875" style="41" customWidth="1"/>
    <col min="19" max="19" width="5.28125" style="16" customWidth="1"/>
    <col min="20" max="20" width="5.28125" style="19" customWidth="1"/>
    <col min="21" max="21" width="6.57421875" style="41" customWidth="1"/>
    <col min="22" max="22" width="3.140625" style="41" customWidth="1"/>
    <col min="23" max="16384" width="9.140625" style="41" customWidth="1"/>
  </cols>
  <sheetData>
    <row r="1" spans="1:21" s="20" customFormat="1" ht="12" customHeight="1">
      <c r="A1" s="10" t="str">
        <f>i!A1</f>
        <v>Lens$db: Lens Price database</v>
      </c>
      <c r="B1" s="33"/>
      <c r="C1" s="21"/>
      <c r="D1" s="13"/>
      <c r="E1" s="21"/>
      <c r="F1" s="13"/>
      <c r="G1" s="66"/>
      <c r="H1" s="33"/>
      <c r="I1" s="15" t="s">
        <v>20</v>
      </c>
      <c r="J1" s="33"/>
      <c r="K1" s="15" t="s">
        <v>20</v>
      </c>
      <c r="L1" s="15"/>
      <c r="M1" s="18"/>
      <c r="N1" s="15"/>
      <c r="O1" s="18"/>
      <c r="P1" s="16" t="s">
        <v>20</v>
      </c>
      <c r="Q1" s="18"/>
      <c r="R1" s="16" t="str">
        <f>i!B3</f>
        <v>.2010-06-01</v>
      </c>
      <c r="S1" s="51"/>
      <c r="T1" s="18"/>
      <c r="U1" s="16" t="s">
        <v>20</v>
      </c>
    </row>
    <row r="2" spans="1:21" s="20" customFormat="1" ht="12" customHeight="1">
      <c r="A2" s="21"/>
      <c r="B2" s="33"/>
      <c r="C2" s="21"/>
      <c r="D2" s="13"/>
      <c r="E2" s="21"/>
      <c r="F2" s="13"/>
      <c r="G2" s="52"/>
      <c r="H2" s="18"/>
      <c r="I2" s="18"/>
      <c r="J2" s="18"/>
      <c r="K2" s="15"/>
      <c r="L2" s="51" t="s">
        <v>20</v>
      </c>
      <c r="M2" s="16"/>
      <c r="N2" s="28"/>
      <c r="O2" s="16"/>
      <c r="P2" s="28"/>
      <c r="Q2" s="16"/>
      <c r="R2" s="28"/>
      <c r="S2" s="28"/>
      <c r="T2" s="16"/>
      <c r="U2" s="28" t="s">
        <v>20</v>
      </c>
    </row>
    <row r="3" spans="3:21" s="33" customFormat="1" ht="12" customHeight="1">
      <c r="C3" s="22"/>
      <c r="D3" s="24"/>
      <c r="E3" s="22"/>
      <c r="F3" s="24"/>
      <c r="G3" s="67"/>
      <c r="H3" s="54"/>
      <c r="I3" s="54"/>
      <c r="J3" s="54"/>
      <c r="K3" s="54"/>
      <c r="L3" s="55"/>
      <c r="M3" s="30"/>
      <c r="N3" s="30" t="s">
        <v>21</v>
      </c>
      <c r="O3" s="30"/>
      <c r="P3" s="55"/>
      <c r="Q3" s="30"/>
      <c r="R3" s="37" t="s">
        <v>22</v>
      </c>
      <c r="S3" s="28"/>
      <c r="T3" s="30"/>
      <c r="U3" s="37"/>
    </row>
    <row r="4" spans="1:21" ht="12" customHeight="1">
      <c r="A4" s="33" t="s">
        <v>251</v>
      </c>
      <c r="C4" s="40" t="s">
        <v>6</v>
      </c>
      <c r="D4" s="40" t="s">
        <v>13</v>
      </c>
      <c r="E4" s="40" t="s">
        <v>642</v>
      </c>
      <c r="F4" s="144" t="s">
        <v>15</v>
      </c>
      <c r="G4" s="56" t="s">
        <v>519</v>
      </c>
      <c r="H4" s="57" t="s">
        <v>7</v>
      </c>
      <c r="I4" s="16" t="s">
        <v>587</v>
      </c>
      <c r="J4" s="16" t="s">
        <v>588</v>
      </c>
      <c r="K4" s="35" t="s">
        <v>589</v>
      </c>
      <c r="L4" s="36" t="s">
        <v>23</v>
      </c>
      <c r="M4" s="37"/>
      <c r="N4" s="38" t="s">
        <v>24</v>
      </c>
      <c r="O4" s="37"/>
      <c r="P4" s="58"/>
      <c r="Q4" s="37" t="s">
        <v>9</v>
      </c>
      <c r="R4" s="37"/>
      <c r="S4" s="59"/>
      <c r="T4" s="37" t="s">
        <v>11</v>
      </c>
      <c r="U4" s="37"/>
    </row>
    <row r="5" spans="1:21" ht="12" customHeight="1">
      <c r="A5" s="42" t="s">
        <v>20</v>
      </c>
      <c r="B5" s="69" t="s">
        <v>20</v>
      </c>
      <c r="C5" s="25" t="s">
        <v>25</v>
      </c>
      <c r="D5" s="25" t="s">
        <v>20</v>
      </c>
      <c r="E5" s="25" t="s">
        <v>25</v>
      </c>
      <c r="F5" s="70" t="s">
        <v>20</v>
      </c>
      <c r="G5" s="60" t="s">
        <v>43</v>
      </c>
      <c r="H5" s="61" t="s">
        <v>26</v>
      </c>
      <c r="I5" s="28" t="s">
        <v>25</v>
      </c>
      <c r="J5" s="28" t="s">
        <v>25</v>
      </c>
      <c r="K5" s="37" t="s">
        <v>25</v>
      </c>
      <c r="L5" s="27" t="s">
        <v>27</v>
      </c>
      <c r="M5" s="37" t="s">
        <v>28</v>
      </c>
      <c r="N5" s="28" t="s">
        <v>27</v>
      </c>
      <c r="O5" s="37" t="s">
        <v>28</v>
      </c>
      <c r="P5" s="39" t="s">
        <v>27</v>
      </c>
      <c r="Q5" s="30" t="s">
        <v>28</v>
      </c>
      <c r="R5" s="32" t="s">
        <v>29</v>
      </c>
      <c r="S5" s="39" t="s">
        <v>27</v>
      </c>
      <c r="T5" s="30" t="s">
        <v>28</v>
      </c>
      <c r="U5" s="32" t="s">
        <v>29</v>
      </c>
    </row>
    <row r="6" spans="1:21" s="20" customFormat="1" ht="12" customHeight="1">
      <c r="A6" s="62" t="s">
        <v>44</v>
      </c>
      <c r="B6" s="41" t="s">
        <v>89</v>
      </c>
      <c r="C6" s="19" t="s">
        <v>90</v>
      </c>
      <c r="D6" s="19">
        <v>2.8</v>
      </c>
      <c r="E6" s="19" t="s">
        <v>91</v>
      </c>
      <c r="F6" s="71" t="s">
        <v>46</v>
      </c>
      <c r="G6" s="63">
        <v>0.28</v>
      </c>
      <c r="H6" s="57">
        <v>0.6</v>
      </c>
      <c r="I6" s="16">
        <v>103</v>
      </c>
      <c r="J6" s="16">
        <v>83.5</v>
      </c>
      <c r="K6" s="19">
        <v>77</v>
      </c>
      <c r="L6" s="26">
        <f>AVERAGE(833,837,850,831,810,875,850,780,800)</f>
        <v>829.5555555555555</v>
      </c>
      <c r="M6" s="40" t="s">
        <v>731</v>
      </c>
      <c r="N6" s="26">
        <f>AVERAGE(948,962,899,889,870,906,900)</f>
        <v>910.5714285714286</v>
      </c>
      <c r="O6" s="40" t="s">
        <v>781</v>
      </c>
      <c r="P6" s="26">
        <v>1035</v>
      </c>
      <c r="Q6" s="40" t="s">
        <v>781</v>
      </c>
      <c r="R6" s="35" t="s">
        <v>35</v>
      </c>
      <c r="S6" s="26">
        <v>995</v>
      </c>
      <c r="T6" s="40" t="s">
        <v>731</v>
      </c>
      <c r="U6" s="35" t="s">
        <v>33</v>
      </c>
    </row>
    <row r="7" spans="1:21" s="20" customFormat="1" ht="12" customHeight="1">
      <c r="A7" s="62" t="s">
        <v>44</v>
      </c>
      <c r="B7" s="41" t="s">
        <v>370</v>
      </c>
      <c r="C7" s="19" t="s">
        <v>90</v>
      </c>
      <c r="D7" s="19">
        <v>2.8</v>
      </c>
      <c r="E7" s="19" t="s">
        <v>91</v>
      </c>
      <c r="F7" s="71" t="s">
        <v>46</v>
      </c>
      <c r="G7" s="63">
        <v>0.28</v>
      </c>
      <c r="H7" s="57">
        <v>0.635</v>
      </c>
      <c r="I7" s="16">
        <v>111.6</v>
      </c>
      <c r="J7" s="16">
        <v>88</v>
      </c>
      <c r="K7" s="19">
        <v>82</v>
      </c>
      <c r="L7" s="26">
        <f>AVERAGE(1036,1175,1138,1059,1102,1027)</f>
        <v>1089.5</v>
      </c>
      <c r="M7" s="40" t="s">
        <v>781</v>
      </c>
      <c r="N7" s="26">
        <f>AVERAGE(1226,1237,1187,1375,1326,1425,1275,1350,1225)</f>
        <v>1291.7777777777778</v>
      </c>
      <c r="O7" s="40" t="s">
        <v>781</v>
      </c>
      <c r="P7" s="26">
        <v>1330</v>
      </c>
      <c r="Q7" s="40" t="s">
        <v>781</v>
      </c>
      <c r="R7" s="35" t="s">
        <v>39</v>
      </c>
      <c r="S7" s="26">
        <v>1350</v>
      </c>
      <c r="T7" s="40" t="s">
        <v>781</v>
      </c>
      <c r="U7" s="35" t="s">
        <v>39</v>
      </c>
    </row>
    <row r="8" spans="1:21" s="20" customFormat="1" ht="12" customHeight="1">
      <c r="A8" s="62" t="s">
        <v>44</v>
      </c>
      <c r="B8" s="41" t="s">
        <v>92</v>
      </c>
      <c r="C8" s="19" t="s">
        <v>93</v>
      </c>
      <c r="D8" s="19">
        <v>2.8</v>
      </c>
      <c r="E8" s="19" t="s">
        <v>94</v>
      </c>
      <c r="F8" s="71" t="s">
        <v>46</v>
      </c>
      <c r="G8" s="63">
        <v>0.42</v>
      </c>
      <c r="H8" s="57">
        <v>0.545</v>
      </c>
      <c r="I8" s="16">
        <v>95.7</v>
      </c>
      <c r="J8" s="16">
        <v>83.5</v>
      </c>
      <c r="K8" s="19">
        <v>77</v>
      </c>
      <c r="L8" s="26">
        <f>AVERAGE(593,640,546,630,613,665,660,649,650)</f>
        <v>627.3333333333334</v>
      </c>
      <c r="M8" s="40" t="s">
        <v>781</v>
      </c>
      <c r="N8" s="26">
        <f>AVERAGE(680,769,719,850,810,750,715,775,705)</f>
        <v>752.5555555555555</v>
      </c>
      <c r="O8" s="40" t="s">
        <v>704</v>
      </c>
      <c r="P8" s="26">
        <v>890</v>
      </c>
      <c r="Q8" s="40" t="s">
        <v>781</v>
      </c>
      <c r="R8" s="35" t="s">
        <v>35</v>
      </c>
      <c r="S8" s="26">
        <v>1080</v>
      </c>
      <c r="T8" s="40" t="s">
        <v>781</v>
      </c>
      <c r="U8" s="35" t="s">
        <v>35</v>
      </c>
    </row>
    <row r="9" spans="1:21" s="20" customFormat="1" ht="12" customHeight="1">
      <c r="A9" s="62" t="s">
        <v>44</v>
      </c>
      <c r="B9" s="41" t="s">
        <v>95</v>
      </c>
      <c r="C9" s="19" t="s">
        <v>96</v>
      </c>
      <c r="D9" s="19">
        <v>4</v>
      </c>
      <c r="E9" s="19" t="s">
        <v>97</v>
      </c>
      <c r="F9" s="71" t="s">
        <v>46</v>
      </c>
      <c r="G9" s="63">
        <v>0.28</v>
      </c>
      <c r="H9" s="57">
        <v>0.5</v>
      </c>
      <c r="I9" s="16">
        <v>96.8</v>
      </c>
      <c r="J9" s="16">
        <v>83.5</v>
      </c>
      <c r="K9" s="19">
        <v>77</v>
      </c>
      <c r="L9" s="26">
        <f>AVERAGE(511,475,466,516,490,510,520,460,455,500)</f>
        <v>490.3</v>
      </c>
      <c r="M9" s="40" t="s">
        <v>781</v>
      </c>
      <c r="N9" s="26">
        <f>AVERAGE(611,637,630,610,620,625,625,550,665,619)</f>
        <v>619.2</v>
      </c>
      <c r="O9" s="40" t="s">
        <v>781</v>
      </c>
      <c r="P9" s="26">
        <v>645</v>
      </c>
      <c r="Q9" s="40" t="s">
        <v>781</v>
      </c>
      <c r="R9" s="35" t="s">
        <v>35</v>
      </c>
      <c r="S9" s="26">
        <v>595</v>
      </c>
      <c r="T9" s="40" t="s">
        <v>781</v>
      </c>
      <c r="U9" s="35" t="s">
        <v>33</v>
      </c>
    </row>
    <row r="10" spans="1:21" s="20" customFormat="1" ht="12" customHeight="1">
      <c r="A10" s="64" t="s">
        <v>44</v>
      </c>
      <c r="B10" s="42" t="s">
        <v>98</v>
      </c>
      <c r="C10" s="45" t="s">
        <v>99</v>
      </c>
      <c r="D10" s="45">
        <v>2.8</v>
      </c>
      <c r="E10" s="45" t="s">
        <v>100</v>
      </c>
      <c r="F10" s="70" t="s">
        <v>46</v>
      </c>
      <c r="G10" s="60">
        <v>0.5</v>
      </c>
      <c r="H10" s="61">
        <v>0.54</v>
      </c>
      <c r="I10" s="28">
        <v>79.2</v>
      </c>
      <c r="J10" s="28">
        <v>89</v>
      </c>
      <c r="K10" s="45">
        <v>72</v>
      </c>
      <c r="L10" s="27">
        <f>AVERAGE(475,305,361,480,435,400,442,364)</f>
        <v>407.75</v>
      </c>
      <c r="M10" s="25" t="s">
        <v>731</v>
      </c>
      <c r="N10" s="27">
        <f>AVERAGE(503,510,646,441,550,573,560,455,600,570,550)</f>
        <v>541.6363636363636</v>
      </c>
      <c r="O10" s="25" t="s">
        <v>731</v>
      </c>
      <c r="P10" s="27">
        <v>570</v>
      </c>
      <c r="Q10" s="25" t="s">
        <v>781</v>
      </c>
      <c r="R10" s="37" t="s">
        <v>35</v>
      </c>
      <c r="S10" s="27">
        <v>695</v>
      </c>
      <c r="T10" s="25" t="s">
        <v>601</v>
      </c>
      <c r="U10" s="37" t="s">
        <v>35</v>
      </c>
    </row>
    <row r="11" spans="1:21" s="20" customFormat="1" ht="12" customHeight="1">
      <c r="A11" s="62" t="s">
        <v>44</v>
      </c>
      <c r="B11" s="41" t="s">
        <v>101</v>
      </c>
      <c r="C11" s="19" t="s">
        <v>102</v>
      </c>
      <c r="D11" s="19">
        <v>2.8</v>
      </c>
      <c r="E11" s="19" t="s">
        <v>103</v>
      </c>
      <c r="F11" s="71" t="s">
        <v>46</v>
      </c>
      <c r="G11" s="63">
        <v>0.38</v>
      </c>
      <c r="H11" s="57">
        <v>0.95</v>
      </c>
      <c r="I11" s="16">
        <v>123.5</v>
      </c>
      <c r="J11" s="16">
        <v>83.2</v>
      </c>
      <c r="K11" s="19">
        <v>77</v>
      </c>
      <c r="L11" s="26">
        <f>AVERAGE(997,975,983,930,825,950,825,849)</f>
        <v>916.75</v>
      </c>
      <c r="M11" s="40" t="s">
        <v>781</v>
      </c>
      <c r="N11" s="26">
        <f>AVERAGE(1300,1201,1100,1150,1150,1076,1103,1102)</f>
        <v>1147.75</v>
      </c>
      <c r="O11" s="40" t="s">
        <v>781</v>
      </c>
      <c r="P11" s="26">
        <v>1120</v>
      </c>
      <c r="Q11" s="40" t="s">
        <v>781</v>
      </c>
      <c r="R11" s="35" t="s">
        <v>35</v>
      </c>
      <c r="S11" s="26">
        <v>1200</v>
      </c>
      <c r="T11" s="40" t="s">
        <v>781</v>
      </c>
      <c r="U11" s="35" t="s">
        <v>39</v>
      </c>
    </row>
    <row r="12" spans="1:21" s="20" customFormat="1" ht="12" customHeight="1">
      <c r="A12" s="62" t="s">
        <v>44</v>
      </c>
      <c r="B12" s="41" t="s">
        <v>449</v>
      </c>
      <c r="C12" s="19" t="s">
        <v>104</v>
      </c>
      <c r="D12" s="19">
        <v>4</v>
      </c>
      <c r="E12" s="19" t="s">
        <v>105</v>
      </c>
      <c r="F12" s="71" t="s">
        <v>46</v>
      </c>
      <c r="G12" s="63">
        <v>0.45</v>
      </c>
      <c r="H12" s="57">
        <v>0.67</v>
      </c>
      <c r="I12" s="16">
        <v>107</v>
      </c>
      <c r="J12" s="16">
        <v>83.5</v>
      </c>
      <c r="K12" s="19">
        <v>77</v>
      </c>
      <c r="L12" s="26">
        <f>AVERAGE(820,877,850,870,830,815,816,791,760)</f>
        <v>825.4444444444445</v>
      </c>
      <c r="M12" s="40" t="s">
        <v>781</v>
      </c>
      <c r="N12" s="26">
        <f>AVERAGE(876,930,841,916,980,969,969,835,960)</f>
        <v>919.5555555555555</v>
      </c>
      <c r="O12" s="40" t="s">
        <v>781</v>
      </c>
      <c r="P12" s="26">
        <v>900</v>
      </c>
      <c r="Q12" s="40" t="s">
        <v>781</v>
      </c>
      <c r="R12" s="35" t="s">
        <v>39</v>
      </c>
      <c r="S12" s="26">
        <v>960</v>
      </c>
      <c r="T12" s="40" t="s">
        <v>781</v>
      </c>
      <c r="U12" s="35" t="s">
        <v>35</v>
      </c>
    </row>
    <row r="13" spans="1:21" s="20" customFormat="1" ht="12" customHeight="1">
      <c r="A13" s="62" t="s">
        <v>44</v>
      </c>
      <c r="B13" s="41" t="s">
        <v>106</v>
      </c>
      <c r="C13" s="19" t="s">
        <v>107</v>
      </c>
      <c r="D13" s="19">
        <v>2.8</v>
      </c>
      <c r="E13" s="19" t="s">
        <v>108</v>
      </c>
      <c r="F13" s="71" t="s">
        <v>46</v>
      </c>
      <c r="G13" s="63">
        <v>0.5</v>
      </c>
      <c r="H13" s="57">
        <v>0.88</v>
      </c>
      <c r="I13" s="16">
        <v>117.6</v>
      </c>
      <c r="J13" s="16">
        <v>83.2</v>
      </c>
      <c r="K13" s="19">
        <v>77</v>
      </c>
      <c r="L13" s="26">
        <f>AVERAGE(711,750,760,770,671,750,730,710,689,711)</f>
        <v>725.2</v>
      </c>
      <c r="M13" s="40" t="s">
        <v>781</v>
      </c>
      <c r="N13" s="26">
        <f>AVERAGE(935,850,920,835,815,925,960,978,880)</f>
        <v>899.7777777777778</v>
      </c>
      <c r="O13" s="40" t="s">
        <v>781</v>
      </c>
      <c r="P13" s="26">
        <v>695</v>
      </c>
      <c r="Q13" s="40" t="s">
        <v>781</v>
      </c>
      <c r="R13" s="35" t="s">
        <v>33</v>
      </c>
      <c r="S13" s="26">
        <v>1100</v>
      </c>
      <c r="T13" s="40" t="s">
        <v>731</v>
      </c>
      <c r="U13" s="35" t="s">
        <v>689</v>
      </c>
    </row>
    <row r="14" spans="1:21" s="20" customFormat="1" ht="12" customHeight="1">
      <c r="A14" s="64" t="s">
        <v>44</v>
      </c>
      <c r="B14" s="42" t="s">
        <v>109</v>
      </c>
      <c r="C14" s="45" t="s">
        <v>110</v>
      </c>
      <c r="D14" s="45" t="s">
        <v>111</v>
      </c>
      <c r="E14" s="45" t="s">
        <v>112</v>
      </c>
      <c r="F14" s="70" t="s">
        <v>46</v>
      </c>
      <c r="G14" s="60">
        <v>0.3</v>
      </c>
      <c r="H14" s="61">
        <v>0.945</v>
      </c>
      <c r="I14" s="28">
        <v>119.5</v>
      </c>
      <c r="J14" s="28">
        <v>84</v>
      </c>
      <c r="K14" s="45">
        <v>72</v>
      </c>
      <c r="L14" s="27">
        <f>AVERAGE(449,410,451,420,358,549,492,559,510)</f>
        <v>466.44444444444446</v>
      </c>
      <c r="M14" s="25" t="s">
        <v>781</v>
      </c>
      <c r="N14" s="27">
        <f>AVERAGE(580,590,525)</f>
        <v>565</v>
      </c>
      <c r="O14" s="25" t="s">
        <v>667</v>
      </c>
      <c r="P14" s="27">
        <v>650</v>
      </c>
      <c r="Q14" s="25" t="s">
        <v>704</v>
      </c>
      <c r="R14" s="37" t="s">
        <v>39</v>
      </c>
      <c r="S14" s="27">
        <v>800</v>
      </c>
      <c r="T14" s="25" t="s">
        <v>781</v>
      </c>
      <c r="U14" s="37" t="s">
        <v>39</v>
      </c>
    </row>
    <row r="15" spans="1:21" s="20" customFormat="1" ht="12" customHeight="1">
      <c r="A15" s="62" t="s">
        <v>44</v>
      </c>
      <c r="B15" s="41" t="s">
        <v>113</v>
      </c>
      <c r="C15" s="19" t="s">
        <v>114</v>
      </c>
      <c r="D15" s="19">
        <v>2.8</v>
      </c>
      <c r="E15" s="19" t="s">
        <v>115</v>
      </c>
      <c r="F15" s="71" t="s">
        <v>46</v>
      </c>
      <c r="G15" s="63">
        <v>1.5</v>
      </c>
      <c r="H15" s="57">
        <v>1.31</v>
      </c>
      <c r="I15" s="16">
        <v>193.6</v>
      </c>
      <c r="J15" s="16">
        <v>84.6</v>
      </c>
      <c r="K15" s="19">
        <v>77</v>
      </c>
      <c r="L15" s="26">
        <f>AVERAGE(799,834,925,810,870,899,940,960,870,890)</f>
        <v>879.7</v>
      </c>
      <c r="M15" s="40" t="s">
        <v>781</v>
      </c>
      <c r="N15" s="26">
        <f>AVERAGE(1200,1100,1123,1075,960,1049,1100,1226)</f>
        <v>1104.125</v>
      </c>
      <c r="O15" s="40" t="s">
        <v>781</v>
      </c>
      <c r="P15" s="26">
        <v>1020</v>
      </c>
      <c r="Q15" s="40" t="s">
        <v>781</v>
      </c>
      <c r="R15" s="35" t="s">
        <v>39</v>
      </c>
      <c r="S15" s="26">
        <v>1100</v>
      </c>
      <c r="T15" s="40" t="s">
        <v>781</v>
      </c>
      <c r="U15" s="35" t="s">
        <v>39</v>
      </c>
    </row>
    <row r="16" spans="1:21" s="20" customFormat="1" ht="12" customHeight="1">
      <c r="A16" s="62" t="s">
        <v>44</v>
      </c>
      <c r="B16" s="41" t="s">
        <v>116</v>
      </c>
      <c r="C16" s="19" t="s">
        <v>114</v>
      </c>
      <c r="D16" s="19">
        <v>2.8</v>
      </c>
      <c r="E16" s="19" t="s">
        <v>115</v>
      </c>
      <c r="F16" s="71" t="s">
        <v>46</v>
      </c>
      <c r="G16" s="63">
        <v>1.4</v>
      </c>
      <c r="H16" s="57">
        <v>1.59</v>
      </c>
      <c r="I16" s="16">
        <v>197</v>
      </c>
      <c r="J16" s="16">
        <v>86.2</v>
      </c>
      <c r="K16" s="19">
        <v>77</v>
      </c>
      <c r="L16" s="26">
        <f>AVERAGE(1385,1357,1448,1350,1330,1350,1445,1400)</f>
        <v>1383.125</v>
      </c>
      <c r="M16" s="40" t="s">
        <v>781</v>
      </c>
      <c r="N16" s="26">
        <f>AVERAGE(1700,1775,1725,1659,1650,1610,1525,1600)</f>
        <v>1655.5</v>
      </c>
      <c r="O16" s="40" t="s">
        <v>781</v>
      </c>
      <c r="P16" s="26">
        <v>1595</v>
      </c>
      <c r="Q16" s="40" t="s">
        <v>781</v>
      </c>
      <c r="R16" s="35" t="s">
        <v>34</v>
      </c>
      <c r="S16" s="26">
        <v>1395</v>
      </c>
      <c r="T16" s="40" t="s">
        <v>781</v>
      </c>
      <c r="U16" s="35" t="s">
        <v>33</v>
      </c>
    </row>
    <row r="17" spans="1:21" s="20" customFormat="1" ht="12" customHeight="1">
      <c r="A17" s="62" t="s">
        <v>44</v>
      </c>
      <c r="B17" s="41" t="s">
        <v>755</v>
      </c>
      <c r="C17" s="19" t="s">
        <v>114</v>
      </c>
      <c r="D17" s="19">
        <v>2.8</v>
      </c>
      <c r="E17" s="19" t="s">
        <v>115</v>
      </c>
      <c r="F17" s="71" t="s">
        <v>46</v>
      </c>
      <c r="G17" s="63">
        <v>1.2</v>
      </c>
      <c r="H17" s="57">
        <v>1.49</v>
      </c>
      <c r="I17" s="16">
        <v>199</v>
      </c>
      <c r="J17" s="16">
        <v>88.8</v>
      </c>
      <c r="K17" s="19">
        <v>77</v>
      </c>
      <c r="L17" s="26" t="s">
        <v>20</v>
      </c>
      <c r="M17" s="40" t="s">
        <v>20</v>
      </c>
      <c r="N17" s="72">
        <f>AVERAGE(2386,2375,2499,2380)</f>
        <v>2410</v>
      </c>
      <c r="O17" s="40" t="s">
        <v>781</v>
      </c>
      <c r="P17" s="26" t="s">
        <v>20</v>
      </c>
      <c r="Q17" s="40" t="s">
        <v>20</v>
      </c>
      <c r="R17" s="35" t="s">
        <v>20</v>
      </c>
      <c r="S17" s="72">
        <v>2500</v>
      </c>
      <c r="T17" s="40" t="s">
        <v>767</v>
      </c>
      <c r="U17" s="35" t="s">
        <v>38</v>
      </c>
    </row>
    <row r="18" spans="1:21" s="20" customFormat="1" ht="12" customHeight="1">
      <c r="A18" s="62" t="s">
        <v>44</v>
      </c>
      <c r="B18" s="41" t="s">
        <v>117</v>
      </c>
      <c r="C18" s="19" t="s">
        <v>114</v>
      </c>
      <c r="D18" s="19">
        <v>4</v>
      </c>
      <c r="E18" s="19" t="s">
        <v>115</v>
      </c>
      <c r="F18" s="71" t="s">
        <v>46</v>
      </c>
      <c r="G18" s="63">
        <v>1.19</v>
      </c>
      <c r="H18" s="57">
        <v>0.71</v>
      </c>
      <c r="I18" s="16">
        <v>173</v>
      </c>
      <c r="J18" s="16">
        <v>77</v>
      </c>
      <c r="K18" s="19">
        <v>67</v>
      </c>
      <c r="L18" s="26">
        <f>AVERAGE(460,466,475,472,465,435,445)</f>
        <v>459.7142857142857</v>
      </c>
      <c r="M18" s="40" t="s">
        <v>781</v>
      </c>
      <c r="N18" s="26">
        <f>AVERAGE(530,580,550,510,551,535,580)</f>
        <v>548</v>
      </c>
      <c r="O18" s="40" t="s">
        <v>781</v>
      </c>
      <c r="P18" s="26">
        <v>580</v>
      </c>
      <c r="Q18" s="40" t="s">
        <v>781</v>
      </c>
      <c r="R18" s="35" t="s">
        <v>39</v>
      </c>
      <c r="S18" s="26">
        <v>580</v>
      </c>
      <c r="T18" s="40" t="s">
        <v>781</v>
      </c>
      <c r="U18" s="35" t="s">
        <v>33</v>
      </c>
    </row>
    <row r="19" spans="1:21" s="20" customFormat="1" ht="12" customHeight="1">
      <c r="A19" s="62" t="s">
        <v>44</v>
      </c>
      <c r="B19" s="41" t="s">
        <v>288</v>
      </c>
      <c r="C19" s="19" t="s">
        <v>114</v>
      </c>
      <c r="D19" s="19">
        <v>4</v>
      </c>
      <c r="E19" s="19" t="s">
        <v>115</v>
      </c>
      <c r="F19" s="71" t="s">
        <v>46</v>
      </c>
      <c r="G19" s="63">
        <v>1.2</v>
      </c>
      <c r="H19" s="57">
        <v>0.76</v>
      </c>
      <c r="I19" s="16">
        <v>172</v>
      </c>
      <c r="J19" s="16">
        <v>76</v>
      </c>
      <c r="K19" s="19">
        <v>67</v>
      </c>
      <c r="L19" s="26">
        <f>AVERAGE(859,852,849,900,876,800,892,875,850,850)</f>
        <v>860.3</v>
      </c>
      <c r="M19" s="40" t="s">
        <v>781</v>
      </c>
      <c r="N19" s="26">
        <f>AVERAGE(1000,950,989.925,950,980,919,950)</f>
        <v>962.7035714285714</v>
      </c>
      <c r="O19" s="40" t="s">
        <v>781</v>
      </c>
      <c r="P19" s="26">
        <v>1080</v>
      </c>
      <c r="Q19" s="40" t="s">
        <v>781</v>
      </c>
      <c r="R19" s="35" t="s">
        <v>35</v>
      </c>
      <c r="S19" s="26">
        <v>1100</v>
      </c>
      <c r="T19" s="40" t="s">
        <v>781</v>
      </c>
      <c r="U19" s="35" t="s">
        <v>39</v>
      </c>
    </row>
    <row r="20" spans="1:21" s="20" customFormat="1" ht="12" customHeight="1">
      <c r="A20" s="64" t="s">
        <v>44</v>
      </c>
      <c r="B20" s="42" t="s">
        <v>118</v>
      </c>
      <c r="C20" s="45" t="s">
        <v>119</v>
      </c>
      <c r="D20" s="45">
        <v>2.8</v>
      </c>
      <c r="E20" s="45" t="s">
        <v>120</v>
      </c>
      <c r="F20" s="70" t="s">
        <v>46</v>
      </c>
      <c r="G20" s="60" t="s">
        <v>121</v>
      </c>
      <c r="H20" s="61">
        <v>1.33</v>
      </c>
      <c r="I20" s="28">
        <v>186</v>
      </c>
      <c r="J20" s="28">
        <v>84</v>
      </c>
      <c r="K20" s="45">
        <v>72</v>
      </c>
      <c r="L20" s="27">
        <f>AVERAGE(617,618,648,650,610,640,620,650,600,650)</f>
        <v>630.3</v>
      </c>
      <c r="M20" s="35" t="s">
        <v>731</v>
      </c>
      <c r="N20" s="27">
        <f>AVERAGE(750,750,748,810,899,715,850,815)</f>
        <v>792.125</v>
      </c>
      <c r="O20" s="35" t="s">
        <v>781</v>
      </c>
      <c r="P20" s="27">
        <v>725</v>
      </c>
      <c r="Q20" s="25" t="s">
        <v>525</v>
      </c>
      <c r="R20" s="37" t="s">
        <v>35</v>
      </c>
      <c r="S20" s="27">
        <v>850</v>
      </c>
      <c r="T20" s="25" t="s">
        <v>466</v>
      </c>
      <c r="U20" s="37" t="s">
        <v>35</v>
      </c>
    </row>
    <row r="21" spans="1:21" ht="6" customHeight="1">
      <c r="A21" s="73" t="s">
        <v>20</v>
      </c>
      <c r="B21" s="74" t="s">
        <v>20</v>
      </c>
      <c r="C21" s="75" t="s">
        <v>20</v>
      </c>
      <c r="D21" s="75" t="s">
        <v>20</v>
      </c>
      <c r="E21" s="75" t="s">
        <v>20</v>
      </c>
      <c r="F21" s="75" t="s">
        <v>20</v>
      </c>
      <c r="G21" s="76" t="s">
        <v>20</v>
      </c>
      <c r="H21" s="77" t="s">
        <v>20</v>
      </c>
      <c r="I21" s="30" t="s">
        <v>20</v>
      </c>
      <c r="J21" s="30" t="s">
        <v>20</v>
      </c>
      <c r="K21" s="75" t="s">
        <v>20</v>
      </c>
      <c r="L21" s="30" t="s">
        <v>20</v>
      </c>
      <c r="M21" s="78" t="s">
        <v>20</v>
      </c>
      <c r="N21" s="30" t="s">
        <v>20</v>
      </c>
      <c r="O21" s="78" t="s">
        <v>20</v>
      </c>
      <c r="P21" s="30" t="s">
        <v>20</v>
      </c>
      <c r="Q21" s="78" t="s">
        <v>20</v>
      </c>
      <c r="R21" s="30" t="s">
        <v>20</v>
      </c>
      <c r="S21" s="30" t="s">
        <v>20</v>
      </c>
      <c r="T21" s="78" t="s">
        <v>20</v>
      </c>
      <c r="U21" s="30" t="s">
        <v>20</v>
      </c>
    </row>
    <row r="22" spans="1:21" s="20" customFormat="1" ht="12" customHeight="1">
      <c r="A22" s="62" t="s">
        <v>44</v>
      </c>
      <c r="B22" s="41" t="s">
        <v>122</v>
      </c>
      <c r="C22" s="19" t="s">
        <v>123</v>
      </c>
      <c r="D22" s="19" t="s">
        <v>124</v>
      </c>
      <c r="E22" s="19" t="s">
        <v>125</v>
      </c>
      <c r="F22" s="71" t="s">
        <v>46</v>
      </c>
      <c r="G22" s="63">
        <v>0.7</v>
      </c>
      <c r="H22" s="57">
        <v>1.67</v>
      </c>
      <c r="I22" s="16">
        <v>184</v>
      </c>
      <c r="J22" s="16">
        <v>92</v>
      </c>
      <c r="K22" s="19">
        <v>77</v>
      </c>
      <c r="L22" s="26">
        <f>AVERAGE(1676,1626,1620,1550,1400,1641,1500,1575,1507,1500)</f>
        <v>1559.5</v>
      </c>
      <c r="M22" s="40" t="s">
        <v>731</v>
      </c>
      <c r="N22" s="26">
        <f>AVERAGE(2010,1899,1825,2026,2175,2000,1925,2100,2100,2000)</f>
        <v>2006</v>
      </c>
      <c r="O22" s="40" t="s">
        <v>781</v>
      </c>
      <c r="P22" s="26">
        <v>1840</v>
      </c>
      <c r="Q22" s="40" t="s">
        <v>781</v>
      </c>
      <c r="R22" s="35" t="s">
        <v>35</v>
      </c>
      <c r="S22" s="26">
        <v>2030</v>
      </c>
      <c r="T22" s="40" t="s">
        <v>731</v>
      </c>
      <c r="U22" s="35" t="s">
        <v>35</v>
      </c>
    </row>
    <row r="23" spans="1:21" s="20" customFormat="1" ht="12" customHeight="1">
      <c r="A23" s="62" t="s">
        <v>44</v>
      </c>
      <c r="B23" s="41" t="s">
        <v>126</v>
      </c>
      <c r="C23" s="19" t="s">
        <v>127</v>
      </c>
      <c r="D23" s="19" t="s">
        <v>124</v>
      </c>
      <c r="E23" s="19" t="s">
        <v>128</v>
      </c>
      <c r="F23" s="71" t="s">
        <v>46</v>
      </c>
      <c r="G23" s="63">
        <v>0.6</v>
      </c>
      <c r="H23" s="57">
        <v>1.385</v>
      </c>
      <c r="I23" s="16">
        <v>167.4</v>
      </c>
      <c r="J23" s="16">
        <v>85</v>
      </c>
      <c r="K23" s="19">
        <v>72</v>
      </c>
      <c r="L23" s="26">
        <f>AVERAGE(901,980,925,925,760,910,1000,897,926,766,886)</f>
        <v>897.8181818181819</v>
      </c>
      <c r="M23" s="79" t="s">
        <v>781</v>
      </c>
      <c r="N23" s="18">
        <f>AVERAGE(1150,1286,1299,1150,1051,1000,1125,1075,1100)</f>
        <v>1137.3333333333333</v>
      </c>
      <c r="O23" s="79" t="s">
        <v>781</v>
      </c>
      <c r="P23" s="26">
        <v>1120</v>
      </c>
      <c r="Q23" s="40" t="s">
        <v>731</v>
      </c>
      <c r="R23" s="35" t="s">
        <v>35</v>
      </c>
      <c r="S23" s="26">
        <v>1170</v>
      </c>
      <c r="T23" s="40" t="s">
        <v>523</v>
      </c>
      <c r="U23" s="35" t="s">
        <v>35</v>
      </c>
    </row>
    <row r="24" spans="1:21" s="20" customFormat="1" ht="12" customHeight="1">
      <c r="A24" s="62" t="s">
        <v>44</v>
      </c>
      <c r="B24" s="41" t="s">
        <v>129</v>
      </c>
      <c r="C24" s="19" t="s">
        <v>130</v>
      </c>
      <c r="D24" s="19" t="s">
        <v>131</v>
      </c>
      <c r="E24" s="19" t="s">
        <v>132</v>
      </c>
      <c r="F24" s="71" t="s">
        <v>46</v>
      </c>
      <c r="G24" s="63">
        <v>1.2</v>
      </c>
      <c r="H24" s="57">
        <v>0.695</v>
      </c>
      <c r="I24" s="16">
        <v>145.8</v>
      </c>
      <c r="J24" s="16">
        <v>75.6</v>
      </c>
      <c r="K24" s="19">
        <v>58</v>
      </c>
      <c r="L24" s="26">
        <f>AVERAGE(425,340,299,480,338,415,352,392,460,421,300)</f>
        <v>383.8181818181818</v>
      </c>
      <c r="M24" s="40" t="s">
        <v>553</v>
      </c>
      <c r="N24" s="26">
        <f>AVERAGE(830,412,525,606,545,534,556,595,665)</f>
        <v>585.3333333333334</v>
      </c>
      <c r="O24" s="40" t="s">
        <v>720</v>
      </c>
      <c r="P24" s="26">
        <v>484</v>
      </c>
      <c r="Q24" s="40" t="s">
        <v>523</v>
      </c>
      <c r="R24" s="35" t="s">
        <v>35</v>
      </c>
      <c r="S24" s="26">
        <v>500</v>
      </c>
      <c r="T24" s="40" t="s">
        <v>523</v>
      </c>
      <c r="U24" s="35" t="s">
        <v>35</v>
      </c>
    </row>
    <row r="25" spans="1:21" s="20" customFormat="1" ht="12" customHeight="1">
      <c r="A25" s="62" t="s">
        <v>44</v>
      </c>
      <c r="B25" s="41" t="s">
        <v>133</v>
      </c>
      <c r="C25" s="19" t="s">
        <v>134</v>
      </c>
      <c r="D25" s="19">
        <v>5.6</v>
      </c>
      <c r="E25" s="19" t="s">
        <v>135</v>
      </c>
      <c r="F25" s="71" t="s">
        <v>46</v>
      </c>
      <c r="G25" s="63">
        <v>1.5</v>
      </c>
      <c r="H25" s="57">
        <v>0.695</v>
      </c>
      <c r="I25" s="16">
        <v>166.6</v>
      </c>
      <c r="J25" s="16">
        <v>75</v>
      </c>
      <c r="K25" s="19">
        <v>58</v>
      </c>
      <c r="L25" s="26">
        <f>AVERAGE(365,300,275,300,285,307,287,329)</f>
        <v>306</v>
      </c>
      <c r="M25" s="40" t="s">
        <v>731</v>
      </c>
      <c r="N25" s="26">
        <f>AVERAGE(380,350,405,400,435,380,435,386)</f>
        <v>396.375</v>
      </c>
      <c r="O25" s="40" t="s">
        <v>731</v>
      </c>
      <c r="P25" s="26">
        <v>380</v>
      </c>
      <c r="Q25" s="40" t="s">
        <v>781</v>
      </c>
      <c r="R25" s="35" t="s">
        <v>35</v>
      </c>
      <c r="S25" s="26">
        <v>415</v>
      </c>
      <c r="T25" s="40" t="s">
        <v>781</v>
      </c>
      <c r="U25" s="35" t="s">
        <v>35</v>
      </c>
    </row>
    <row r="26" spans="1:22" s="20" customFormat="1" ht="12" customHeight="1">
      <c r="A26" s="64" t="s">
        <v>44</v>
      </c>
      <c r="B26" s="42" t="s">
        <v>136</v>
      </c>
      <c r="C26" s="45" t="s">
        <v>137</v>
      </c>
      <c r="D26" s="45" t="s">
        <v>138</v>
      </c>
      <c r="E26" s="45" t="s">
        <v>139</v>
      </c>
      <c r="F26" s="70" t="s">
        <v>46</v>
      </c>
      <c r="G26" s="60">
        <v>1.8</v>
      </c>
      <c r="H26" s="61">
        <v>1.38</v>
      </c>
      <c r="I26" s="28">
        <v>189</v>
      </c>
      <c r="J26" s="28">
        <v>92</v>
      </c>
      <c r="K26" s="45">
        <v>77</v>
      </c>
      <c r="L26" s="27">
        <f>AVERAGE(1056,970,1000,1194,1000,1000,1000)</f>
        <v>1031.4285714285713</v>
      </c>
      <c r="M26" s="25" t="s">
        <v>781</v>
      </c>
      <c r="N26" s="27">
        <f>AVERAGE(1425,1290,1250,1410,1326,1300)</f>
        <v>1333.5</v>
      </c>
      <c r="O26" s="25" t="s">
        <v>781</v>
      </c>
      <c r="P26" s="27">
        <v>1300</v>
      </c>
      <c r="Q26" s="25" t="s">
        <v>781</v>
      </c>
      <c r="R26" s="37" t="s">
        <v>730</v>
      </c>
      <c r="S26" s="27">
        <v>1540</v>
      </c>
      <c r="T26" s="25" t="s">
        <v>781</v>
      </c>
      <c r="U26" s="37" t="s">
        <v>35</v>
      </c>
      <c r="V26" s="138"/>
    </row>
    <row r="27" spans="1:21" ht="6" customHeight="1">
      <c r="A27" s="73" t="s">
        <v>20</v>
      </c>
      <c r="B27" s="74" t="s">
        <v>140</v>
      </c>
      <c r="C27" s="75" t="s">
        <v>20</v>
      </c>
      <c r="D27" s="75" t="s">
        <v>20</v>
      </c>
      <c r="E27" s="75" t="s">
        <v>20</v>
      </c>
      <c r="F27" s="75" t="s">
        <v>20</v>
      </c>
      <c r="G27" s="76" t="s">
        <v>20</v>
      </c>
      <c r="H27" s="77" t="s">
        <v>20</v>
      </c>
      <c r="I27" s="30" t="s">
        <v>20</v>
      </c>
      <c r="J27" s="30" t="s">
        <v>20</v>
      </c>
      <c r="K27" s="75" t="s">
        <v>20</v>
      </c>
      <c r="L27" s="30" t="s">
        <v>20</v>
      </c>
      <c r="M27" s="78" t="s">
        <v>20</v>
      </c>
      <c r="N27" s="30" t="s">
        <v>20</v>
      </c>
      <c r="O27" s="78" t="s">
        <v>20</v>
      </c>
      <c r="P27" s="30" t="s">
        <v>20</v>
      </c>
      <c r="Q27" s="78" t="s">
        <v>20</v>
      </c>
      <c r="R27" s="30" t="s">
        <v>20</v>
      </c>
      <c r="S27" s="30" t="s">
        <v>20</v>
      </c>
      <c r="T27" s="78" t="s">
        <v>20</v>
      </c>
      <c r="U27" s="30" t="s">
        <v>20</v>
      </c>
    </row>
    <row r="28" spans="1:21" s="20" customFormat="1" ht="12" customHeight="1">
      <c r="A28" s="62" t="s">
        <v>44</v>
      </c>
      <c r="B28" s="47" t="s">
        <v>487</v>
      </c>
      <c r="C28" s="40" t="s">
        <v>141</v>
      </c>
      <c r="D28" s="19" t="s">
        <v>131</v>
      </c>
      <c r="E28" s="40" t="s">
        <v>90</v>
      </c>
      <c r="F28" s="71" t="s">
        <v>142</v>
      </c>
      <c r="G28" s="63">
        <v>0.24</v>
      </c>
      <c r="H28" s="57">
        <v>0.385</v>
      </c>
      <c r="I28" s="16">
        <v>90</v>
      </c>
      <c r="J28" s="16">
        <v>83.5</v>
      </c>
      <c r="K28" s="19">
        <v>77</v>
      </c>
      <c r="L28" s="26">
        <f>AVERAGE(610,500,516,351,545)</f>
        <v>504.4</v>
      </c>
      <c r="M28" s="40" t="s">
        <v>781</v>
      </c>
      <c r="N28" s="26">
        <f>AVERAGE(660,711,535,680,661,695,575,640,660)</f>
        <v>646.3333333333334</v>
      </c>
      <c r="O28" s="40" t="s">
        <v>781</v>
      </c>
      <c r="P28" s="26">
        <v>600</v>
      </c>
      <c r="Q28" s="40" t="s">
        <v>781</v>
      </c>
      <c r="R28" s="35" t="s">
        <v>701</v>
      </c>
      <c r="S28" s="26">
        <v>700</v>
      </c>
      <c r="T28" s="40" t="s">
        <v>667</v>
      </c>
      <c r="U28" s="35" t="s">
        <v>39</v>
      </c>
    </row>
    <row r="29" spans="1:21" s="20" customFormat="1" ht="12" customHeight="1">
      <c r="A29" s="62" t="s">
        <v>44</v>
      </c>
      <c r="B29" s="47" t="s">
        <v>593</v>
      </c>
      <c r="C29" s="40" t="s">
        <v>594</v>
      </c>
      <c r="D29" s="19" t="s">
        <v>124</v>
      </c>
      <c r="E29" s="40" t="s">
        <v>595</v>
      </c>
      <c r="F29" s="71" t="s">
        <v>142</v>
      </c>
      <c r="G29" s="63">
        <v>0.35</v>
      </c>
      <c r="H29" s="57">
        <v>0.575</v>
      </c>
      <c r="I29" s="16">
        <v>88</v>
      </c>
      <c r="J29" s="16">
        <v>81.6</v>
      </c>
      <c r="K29" s="19">
        <v>72</v>
      </c>
      <c r="L29" s="26">
        <f>AVERAGE(665,660)</f>
        <v>662.5</v>
      </c>
      <c r="M29" s="40" t="s">
        <v>731</v>
      </c>
      <c r="N29" s="72">
        <f>AVERAGE(630,745,780)</f>
        <v>718.3333333333334</v>
      </c>
      <c r="O29" s="40" t="s">
        <v>781</v>
      </c>
      <c r="P29" s="26">
        <v>650</v>
      </c>
      <c r="Q29" s="40" t="s">
        <v>781</v>
      </c>
      <c r="R29" s="35" t="s">
        <v>39</v>
      </c>
      <c r="S29" s="26">
        <v>685</v>
      </c>
      <c r="T29" s="40" t="s">
        <v>731</v>
      </c>
      <c r="U29" s="35" t="s">
        <v>39</v>
      </c>
    </row>
    <row r="30" spans="1:21" s="20" customFormat="1" ht="12" customHeight="1">
      <c r="A30" s="62" t="s">
        <v>44</v>
      </c>
      <c r="B30" s="47" t="s">
        <v>488</v>
      </c>
      <c r="C30" s="40" t="s">
        <v>281</v>
      </c>
      <c r="D30" s="19">
        <v>2.8</v>
      </c>
      <c r="E30" s="40" t="s">
        <v>282</v>
      </c>
      <c r="F30" s="71" t="s">
        <v>142</v>
      </c>
      <c r="G30" s="63">
        <v>0.35</v>
      </c>
      <c r="H30" s="57">
        <v>0.645</v>
      </c>
      <c r="I30" s="16">
        <v>110</v>
      </c>
      <c r="J30" s="16">
        <v>84</v>
      </c>
      <c r="K30" s="19">
        <v>77</v>
      </c>
      <c r="L30" s="26">
        <f>AVERAGE(770,660,750,775,770,700,726,750,660,788,750)</f>
        <v>736.2727272727273</v>
      </c>
      <c r="M30" s="40" t="s">
        <v>704</v>
      </c>
      <c r="N30" s="26">
        <f>AVERAGE(875,898,866,888,890,875,888,875,935)</f>
        <v>887.7777777777778</v>
      </c>
      <c r="O30" s="40" t="s">
        <v>781</v>
      </c>
      <c r="P30" s="26">
        <v>900</v>
      </c>
      <c r="Q30" s="40" t="s">
        <v>781</v>
      </c>
      <c r="R30" s="35" t="s">
        <v>702</v>
      </c>
      <c r="S30" s="26">
        <v>885</v>
      </c>
      <c r="T30" s="40" t="s">
        <v>731</v>
      </c>
      <c r="U30" s="35" t="s">
        <v>34</v>
      </c>
    </row>
    <row r="31" spans="1:21" s="20" customFormat="1" ht="12" customHeight="1">
      <c r="A31" s="62" t="s">
        <v>44</v>
      </c>
      <c r="B31" s="47" t="s">
        <v>489</v>
      </c>
      <c r="C31" s="40" t="s">
        <v>336</v>
      </c>
      <c r="D31" s="19" t="s">
        <v>148</v>
      </c>
      <c r="E31" s="40" t="s">
        <v>337</v>
      </c>
      <c r="F31" s="71" t="s">
        <v>142</v>
      </c>
      <c r="G31" s="63">
        <v>0.35</v>
      </c>
      <c r="H31" s="57">
        <v>0.475</v>
      </c>
      <c r="I31" s="16">
        <v>92</v>
      </c>
      <c r="J31" s="16">
        <v>78.5</v>
      </c>
      <c r="K31" s="19">
        <v>67</v>
      </c>
      <c r="L31" s="26">
        <f>AVERAGE(225,223,255,208,250,224,234,228,271,243)</f>
        <v>236.1</v>
      </c>
      <c r="M31" s="40" t="s">
        <v>781</v>
      </c>
      <c r="N31" s="26">
        <f>AVERAGE(291,350,330,313,310,340,290,315,331,300,302)</f>
        <v>315.6363636363636</v>
      </c>
      <c r="O31" s="40" t="s">
        <v>781</v>
      </c>
      <c r="P31" s="26">
        <v>320</v>
      </c>
      <c r="Q31" s="40" t="s">
        <v>781</v>
      </c>
      <c r="R31" s="35" t="s">
        <v>39</v>
      </c>
      <c r="S31" s="26">
        <v>350</v>
      </c>
      <c r="T31" s="40" t="s">
        <v>767</v>
      </c>
      <c r="U31" s="35" t="s">
        <v>38</v>
      </c>
    </row>
    <row r="32" spans="1:21" s="20" customFormat="1" ht="12" customHeight="1">
      <c r="A32" s="62" t="s">
        <v>44</v>
      </c>
      <c r="B32" s="47" t="s">
        <v>596</v>
      </c>
      <c r="C32" s="40" t="s">
        <v>597</v>
      </c>
      <c r="D32" s="19" t="s">
        <v>124</v>
      </c>
      <c r="E32" s="40" t="s">
        <v>598</v>
      </c>
      <c r="F32" s="71" t="s">
        <v>142</v>
      </c>
      <c r="G32" s="63">
        <v>0.45</v>
      </c>
      <c r="H32" s="57">
        <v>0.455</v>
      </c>
      <c r="I32" s="16">
        <v>101</v>
      </c>
      <c r="J32" s="16">
        <v>75.4</v>
      </c>
      <c r="K32" s="19">
        <v>67</v>
      </c>
      <c r="L32" s="26">
        <f>AVERAGE(310,320,330,340)</f>
        <v>325</v>
      </c>
      <c r="M32" s="40" t="s">
        <v>781</v>
      </c>
      <c r="N32" s="72">
        <f>AVERAGE(320,360,395)</f>
        <v>358.3333333333333</v>
      </c>
      <c r="O32" s="40" t="s">
        <v>781</v>
      </c>
      <c r="P32" s="26">
        <v>270</v>
      </c>
      <c r="Q32" s="40" t="s">
        <v>731</v>
      </c>
      <c r="R32" s="35" t="s">
        <v>31</v>
      </c>
      <c r="S32" s="26">
        <v>350</v>
      </c>
      <c r="T32" s="40" t="s">
        <v>781</v>
      </c>
      <c r="U32" s="35" t="s">
        <v>730</v>
      </c>
    </row>
    <row r="33" spans="1:21" s="20" customFormat="1" ht="12" customHeight="1">
      <c r="A33" s="62" t="s">
        <v>44</v>
      </c>
      <c r="B33" s="47" t="s">
        <v>495</v>
      </c>
      <c r="C33" s="40" t="s">
        <v>429</v>
      </c>
      <c r="D33" s="19" t="s">
        <v>124</v>
      </c>
      <c r="E33" s="40" t="s">
        <v>430</v>
      </c>
      <c r="F33" s="71" t="s">
        <v>142</v>
      </c>
      <c r="G33" s="63">
        <v>0.45</v>
      </c>
      <c r="H33" s="57">
        <v>0.595</v>
      </c>
      <c r="I33" s="16">
        <v>162.5</v>
      </c>
      <c r="J33" s="16">
        <v>78.6</v>
      </c>
      <c r="K33" s="19">
        <v>72</v>
      </c>
      <c r="L33" s="26">
        <f>AVERAGE(495,456,416,395)</f>
        <v>440.5</v>
      </c>
      <c r="M33" s="40" t="s">
        <v>781</v>
      </c>
      <c r="N33" s="26">
        <f>AVERAGE(500,475,610,650,607,530,490,550,522)</f>
        <v>548.2222222222222</v>
      </c>
      <c r="O33" s="40" t="s">
        <v>781</v>
      </c>
      <c r="P33" s="26">
        <v>500</v>
      </c>
      <c r="Q33" s="40" t="s">
        <v>731</v>
      </c>
      <c r="R33" s="35" t="s">
        <v>730</v>
      </c>
      <c r="S33" s="26">
        <v>500</v>
      </c>
      <c r="T33" s="40" t="s">
        <v>781</v>
      </c>
      <c r="U33" s="35" t="s">
        <v>38</v>
      </c>
    </row>
    <row r="34" spans="1:21" s="20" customFormat="1" ht="12" customHeight="1">
      <c r="A34" s="62" t="s">
        <v>44</v>
      </c>
      <c r="B34" s="41" t="s">
        <v>143</v>
      </c>
      <c r="C34" s="19" t="s">
        <v>144</v>
      </c>
      <c r="D34" s="19" t="s">
        <v>124</v>
      </c>
      <c r="E34" s="19" t="s">
        <v>145</v>
      </c>
      <c r="F34" s="71" t="s">
        <v>46</v>
      </c>
      <c r="G34" s="63">
        <v>0.5</v>
      </c>
      <c r="H34" s="57">
        <v>0.54</v>
      </c>
      <c r="I34" s="16">
        <v>96.8</v>
      </c>
      <c r="J34" s="16">
        <v>78.4</v>
      </c>
      <c r="K34" s="19">
        <v>72</v>
      </c>
      <c r="L34" s="26">
        <f>AVERAGE(205,207,207,223,222,230,231,224,204,242)</f>
        <v>219.5</v>
      </c>
      <c r="M34" s="40" t="s">
        <v>781</v>
      </c>
      <c r="N34" s="26">
        <f>AVERAGE(275,283,289,319,290,275,300,260,281)</f>
        <v>285.77777777777777</v>
      </c>
      <c r="O34" s="40" t="s">
        <v>781</v>
      </c>
      <c r="P34" s="26">
        <v>235</v>
      </c>
      <c r="Q34" s="40" t="s">
        <v>731</v>
      </c>
      <c r="R34" s="35" t="s">
        <v>39</v>
      </c>
      <c r="S34" s="26">
        <v>275</v>
      </c>
      <c r="T34" s="40" t="s">
        <v>781</v>
      </c>
      <c r="U34" s="35" t="s">
        <v>35</v>
      </c>
    </row>
    <row r="35" spans="1:21" s="20" customFormat="1" ht="12" customHeight="1">
      <c r="A35" s="62" t="s">
        <v>44</v>
      </c>
      <c r="B35" s="47" t="s">
        <v>490</v>
      </c>
      <c r="C35" s="19" t="s">
        <v>491</v>
      </c>
      <c r="D35" s="19" t="s">
        <v>148</v>
      </c>
      <c r="E35" s="19" t="s">
        <v>492</v>
      </c>
      <c r="F35" s="71" t="s">
        <v>142</v>
      </c>
      <c r="G35" s="52">
        <v>1.1</v>
      </c>
      <c r="H35" s="18">
        <v>0.39</v>
      </c>
      <c r="I35" s="16">
        <v>180</v>
      </c>
      <c r="J35" s="18">
        <v>70</v>
      </c>
      <c r="K35" s="18">
        <v>58</v>
      </c>
      <c r="L35" s="26">
        <f>AVERAGE(118,194,183,197,198,191)</f>
        <v>180.16666666666666</v>
      </c>
      <c r="M35" s="40" t="s">
        <v>781</v>
      </c>
      <c r="N35" s="26">
        <f>AVERAGE(203,205,229,217,155,170,210,225)</f>
        <v>201.75</v>
      </c>
      <c r="O35" s="40" t="s">
        <v>781</v>
      </c>
      <c r="P35" s="26">
        <v>150</v>
      </c>
      <c r="Q35" s="40" t="s">
        <v>601</v>
      </c>
      <c r="R35" s="35" t="s">
        <v>39</v>
      </c>
      <c r="S35" s="26">
        <v>200</v>
      </c>
      <c r="T35" s="40" t="s">
        <v>781</v>
      </c>
      <c r="U35" s="35" t="s">
        <v>689</v>
      </c>
    </row>
    <row r="36" spans="1:21" s="20" customFormat="1" ht="12" customHeight="1">
      <c r="A36" s="62" t="s">
        <v>44</v>
      </c>
      <c r="B36" s="41" t="s">
        <v>146</v>
      </c>
      <c r="C36" s="19" t="s">
        <v>147</v>
      </c>
      <c r="D36" s="19" t="s">
        <v>148</v>
      </c>
      <c r="E36" s="19" t="s">
        <v>149</v>
      </c>
      <c r="F36" s="71" t="s">
        <v>46</v>
      </c>
      <c r="G36" s="63">
        <v>1.5</v>
      </c>
      <c r="H36" s="57">
        <v>0.63</v>
      </c>
      <c r="I36" s="16">
        <v>143</v>
      </c>
      <c r="J36" s="16">
        <v>76</v>
      </c>
      <c r="K36" s="19">
        <v>58</v>
      </c>
      <c r="L36" s="26">
        <f>AVERAGE(380,386,388,400,375,395,388,396,380,395)</f>
        <v>388.3</v>
      </c>
      <c r="M36" s="40" t="s">
        <v>781</v>
      </c>
      <c r="N36" s="26">
        <f>AVERAGE(470,420,469,426,453,405,440,445,450)</f>
        <v>442</v>
      </c>
      <c r="O36" s="40" t="s">
        <v>781</v>
      </c>
      <c r="P36" s="26">
        <v>430</v>
      </c>
      <c r="Q36" s="40" t="s">
        <v>781</v>
      </c>
      <c r="R36" s="35" t="s">
        <v>35</v>
      </c>
      <c r="S36" s="26">
        <v>450</v>
      </c>
      <c r="T36" s="40" t="s">
        <v>767</v>
      </c>
      <c r="U36" s="35" t="s">
        <v>38</v>
      </c>
    </row>
    <row r="37" spans="1:21" s="20" customFormat="1" ht="12" customHeight="1">
      <c r="A37" s="64" t="s">
        <v>44</v>
      </c>
      <c r="B37" s="42" t="s">
        <v>150</v>
      </c>
      <c r="C37" s="45" t="s">
        <v>147</v>
      </c>
      <c r="D37" s="45" t="s">
        <v>138</v>
      </c>
      <c r="E37" s="45" t="s">
        <v>149</v>
      </c>
      <c r="F37" s="70" t="s">
        <v>46</v>
      </c>
      <c r="G37" s="60">
        <v>1.4</v>
      </c>
      <c r="H37" s="61">
        <v>0.72</v>
      </c>
      <c r="I37" s="28">
        <v>99.9</v>
      </c>
      <c r="J37" s="28">
        <v>82.4</v>
      </c>
      <c r="K37" s="45">
        <v>58</v>
      </c>
      <c r="L37" s="27">
        <f>AVERAGE(660,760,650,675,710,730,761,760,750,685)</f>
        <v>714.1</v>
      </c>
      <c r="M37" s="25" t="s">
        <v>781</v>
      </c>
      <c r="N37" s="27">
        <f>AVERAGE(885,851,860,800,852,821,799,875,830)</f>
        <v>841.4444444444445</v>
      </c>
      <c r="O37" s="25" t="s">
        <v>781</v>
      </c>
      <c r="P37" s="27">
        <v>900</v>
      </c>
      <c r="Q37" s="25" t="s">
        <v>781</v>
      </c>
      <c r="R37" s="37" t="s">
        <v>702</v>
      </c>
      <c r="S37" s="27">
        <v>1050</v>
      </c>
      <c r="T37" s="25" t="s">
        <v>781</v>
      </c>
      <c r="U37" s="37" t="s">
        <v>38</v>
      </c>
    </row>
    <row r="39" ht="12" customHeight="1">
      <c r="I39" s="167"/>
    </row>
  </sheetData>
  <sheetProtection password="990B" sheet="1" objects="1" scenarios="1"/>
  <conditionalFormatting sqref="Q1:Q65536 M1:M65536 T1:T65536 O1:O65536">
    <cfRule type="cellIs" priority="1" dxfId="0" operator="lessThan" stopIfTrue="1">
      <formula>".08-09"</formula>
    </cfRule>
  </conditionalFormatting>
  <printOptions/>
  <pageMargins left="0.3" right="0" top="0.5" bottom="0" header="0.590551181102362" footer="0.511811023622047"/>
  <pageSetup horizontalDpi="600" verticalDpi="600" orientation="landscape" r:id="rId1"/>
  <headerFooter alignWithMargins="0">
    <oddHeader>&amp;R&amp;9(&amp;P of &amp;N)</oddHeader>
  </headerFooter>
</worksheet>
</file>

<file path=xl/worksheets/sheet4.xml><?xml version="1.0" encoding="utf-8"?>
<worksheet xmlns="http://schemas.openxmlformats.org/spreadsheetml/2006/main" xmlns:r="http://schemas.openxmlformats.org/officeDocument/2006/relationships">
  <sheetPr codeName="Sheet7"/>
  <dimension ref="A1:W91"/>
  <sheetViews>
    <sheetView workbookViewId="0" topLeftCell="A1">
      <selection activeCell="A1" sqref="A1"/>
    </sheetView>
  </sheetViews>
  <sheetFormatPr defaultColWidth="9.140625" defaultRowHeight="12" customHeight="1"/>
  <cols>
    <col min="1" max="1" width="8.7109375" style="81" customWidth="1"/>
    <col min="2" max="2" width="21.421875" style="81" customWidth="1"/>
    <col min="3" max="3" width="6.28125" style="15" customWidth="1"/>
    <col min="4" max="4" width="6.57421875" style="14" customWidth="1"/>
    <col min="5" max="5" width="6.28125" style="15" customWidth="1"/>
    <col min="6" max="6" width="4.7109375" style="18" customWidth="1"/>
    <col min="7" max="7" width="4.7109375" style="52" customWidth="1"/>
    <col min="8" max="8" width="4.7109375" style="80" customWidth="1"/>
    <col min="9" max="11" width="4.7109375" style="15" customWidth="1"/>
    <col min="12" max="17" width="5.28125" style="15" customWidth="1"/>
    <col min="18" max="18" width="7.140625" style="15" customWidth="1"/>
    <col min="19" max="20" width="5.28125" style="15" customWidth="1"/>
    <col min="21" max="21" width="7.140625" style="15" customWidth="1"/>
    <col min="22" max="22" width="2.7109375" style="20" customWidth="1"/>
    <col min="23" max="16384" width="9.140625" style="20" customWidth="1"/>
  </cols>
  <sheetData>
    <row r="1" spans="1:21" ht="12" customHeight="1">
      <c r="A1" s="10" t="str">
        <f>i!A1</f>
        <v>Lens$db: Lens Price database</v>
      </c>
      <c r="B1" s="33"/>
      <c r="C1" s="49" t="s">
        <v>20</v>
      </c>
      <c r="D1" s="33" t="s">
        <v>20</v>
      </c>
      <c r="E1" s="49" t="s">
        <v>20</v>
      </c>
      <c r="F1" s="33" t="s">
        <v>20</v>
      </c>
      <c r="G1" s="52" t="s">
        <v>20</v>
      </c>
      <c r="H1" s="80" t="s">
        <v>20</v>
      </c>
      <c r="I1" s="15" t="s">
        <v>20</v>
      </c>
      <c r="J1" s="65" t="s">
        <v>20</v>
      </c>
      <c r="K1" s="15" t="s">
        <v>20</v>
      </c>
      <c r="L1" s="16" t="s">
        <v>20</v>
      </c>
      <c r="M1" s="16" t="s">
        <v>20</v>
      </c>
      <c r="N1" s="16" t="s">
        <v>20</v>
      </c>
      <c r="O1" s="16" t="s">
        <v>20</v>
      </c>
      <c r="P1" s="16" t="s">
        <v>20</v>
      </c>
      <c r="Q1" s="17" t="str">
        <f>i!B3</f>
        <v>.2010-06-01</v>
      </c>
      <c r="R1" s="16"/>
      <c r="S1" s="51"/>
      <c r="T1" s="16" t="s">
        <v>20</v>
      </c>
      <c r="U1" s="16" t="s">
        <v>20</v>
      </c>
    </row>
    <row r="2" spans="1:21" ht="12" customHeight="1">
      <c r="A2" s="41"/>
      <c r="F2" s="40"/>
      <c r="G2" s="48"/>
      <c r="H2" s="57"/>
      <c r="I2" s="16"/>
      <c r="J2" s="11"/>
      <c r="K2" s="16"/>
      <c r="L2" s="16"/>
      <c r="M2" s="16"/>
      <c r="N2" s="28"/>
      <c r="O2" s="16"/>
      <c r="P2" s="28"/>
      <c r="Q2" s="16"/>
      <c r="R2" s="28"/>
      <c r="S2" s="28"/>
      <c r="T2" s="16"/>
      <c r="U2" s="28"/>
    </row>
    <row r="3" spans="1:21" s="33" customFormat="1" ht="12" customHeight="1">
      <c r="A3" s="41" t="s">
        <v>20</v>
      </c>
      <c r="B3" s="33" t="s">
        <v>20</v>
      </c>
      <c r="C3" s="53" t="s">
        <v>20</v>
      </c>
      <c r="D3" s="22" t="s">
        <v>20</v>
      </c>
      <c r="E3" s="53" t="s">
        <v>20</v>
      </c>
      <c r="F3" s="83" t="s">
        <v>20</v>
      </c>
      <c r="G3" s="54" t="s">
        <v>20</v>
      </c>
      <c r="H3" s="54" t="s">
        <v>20</v>
      </c>
      <c r="I3" s="54" t="s">
        <v>20</v>
      </c>
      <c r="J3" s="28" t="s">
        <v>20</v>
      </c>
      <c r="K3" s="54" t="s">
        <v>20</v>
      </c>
      <c r="L3" s="84" t="s">
        <v>20</v>
      </c>
      <c r="M3" s="30" t="s">
        <v>20</v>
      </c>
      <c r="N3" s="30" t="s">
        <v>21</v>
      </c>
      <c r="O3" s="30" t="s">
        <v>20</v>
      </c>
      <c r="P3" s="84" t="s">
        <v>20</v>
      </c>
      <c r="Q3" s="30"/>
      <c r="R3" s="37" t="s">
        <v>22</v>
      </c>
      <c r="S3" s="28"/>
      <c r="T3" s="30" t="s">
        <v>20</v>
      </c>
      <c r="U3" s="37" t="s">
        <v>20</v>
      </c>
    </row>
    <row r="4" spans="1:21" s="41" customFormat="1" ht="12" customHeight="1">
      <c r="A4" s="33"/>
      <c r="B4" s="33"/>
      <c r="C4" s="16" t="s">
        <v>6</v>
      </c>
      <c r="D4" s="19" t="s">
        <v>13</v>
      </c>
      <c r="E4" s="90" t="s">
        <v>642</v>
      </c>
      <c r="F4" s="18" t="s">
        <v>15</v>
      </c>
      <c r="G4" s="56" t="s">
        <v>519</v>
      </c>
      <c r="H4" s="57" t="s">
        <v>7</v>
      </c>
      <c r="I4" s="16" t="s">
        <v>587</v>
      </c>
      <c r="J4" s="16" t="s">
        <v>588</v>
      </c>
      <c r="K4" s="35" t="s">
        <v>589</v>
      </c>
      <c r="L4" s="36" t="s">
        <v>23</v>
      </c>
      <c r="M4" s="37"/>
      <c r="N4" s="38" t="s">
        <v>24</v>
      </c>
      <c r="O4" s="37"/>
      <c r="P4" s="131"/>
      <c r="Q4" s="35" t="s">
        <v>9</v>
      </c>
      <c r="R4" s="35"/>
      <c r="S4" s="132"/>
      <c r="T4" s="35" t="s">
        <v>11</v>
      </c>
      <c r="U4" s="35"/>
    </row>
    <row r="5" spans="1:21" s="41" customFormat="1" ht="12" customHeight="1">
      <c r="A5" s="42" t="s">
        <v>20</v>
      </c>
      <c r="B5" s="42" t="s">
        <v>20</v>
      </c>
      <c r="C5" s="28" t="s">
        <v>25</v>
      </c>
      <c r="D5" s="45" t="s">
        <v>20</v>
      </c>
      <c r="E5" s="28" t="s">
        <v>20</v>
      </c>
      <c r="F5" s="92" t="s">
        <v>20</v>
      </c>
      <c r="G5" s="60" t="s">
        <v>43</v>
      </c>
      <c r="H5" s="61" t="s">
        <v>26</v>
      </c>
      <c r="I5" s="28" t="s">
        <v>25</v>
      </c>
      <c r="J5" s="28" t="s">
        <v>25</v>
      </c>
      <c r="K5" s="37" t="s">
        <v>25</v>
      </c>
      <c r="L5" s="27" t="s">
        <v>27</v>
      </c>
      <c r="M5" s="37" t="s">
        <v>28</v>
      </c>
      <c r="N5" s="28" t="s">
        <v>27</v>
      </c>
      <c r="O5" s="28" t="s">
        <v>28</v>
      </c>
      <c r="P5" s="39" t="s">
        <v>27</v>
      </c>
      <c r="Q5" s="30" t="s">
        <v>28</v>
      </c>
      <c r="R5" s="32" t="s">
        <v>29</v>
      </c>
      <c r="S5" s="39" t="s">
        <v>27</v>
      </c>
      <c r="T5" s="30" t="s">
        <v>28</v>
      </c>
      <c r="U5" s="32" t="s">
        <v>29</v>
      </c>
    </row>
    <row r="6" spans="1:21" s="41" customFormat="1" ht="12" customHeight="1">
      <c r="A6" s="143" t="s">
        <v>640</v>
      </c>
      <c r="B6" s="74"/>
      <c r="C6" s="30"/>
      <c r="D6" s="75"/>
      <c r="E6" s="30"/>
      <c r="F6" s="78"/>
      <c r="G6" s="76" t="s">
        <v>20</v>
      </c>
      <c r="H6" s="77" t="s">
        <v>20</v>
      </c>
      <c r="I6" s="30" t="s">
        <v>20</v>
      </c>
      <c r="J6" s="30" t="s">
        <v>20</v>
      </c>
      <c r="K6" s="30" t="s">
        <v>20</v>
      </c>
      <c r="L6" s="30" t="s">
        <v>20</v>
      </c>
      <c r="M6" s="30" t="s">
        <v>20</v>
      </c>
      <c r="N6" s="30" t="s">
        <v>20</v>
      </c>
      <c r="O6" s="30" t="s">
        <v>20</v>
      </c>
      <c r="P6" s="30" t="s">
        <v>20</v>
      </c>
      <c r="Q6" s="30" t="s">
        <v>20</v>
      </c>
      <c r="R6" s="30" t="s">
        <v>20</v>
      </c>
      <c r="S6" s="30" t="s">
        <v>20</v>
      </c>
      <c r="T6" s="30" t="s">
        <v>20</v>
      </c>
      <c r="U6" s="30" t="s">
        <v>20</v>
      </c>
    </row>
    <row r="7" spans="1:21" ht="12" customHeight="1">
      <c r="A7" s="62" t="s">
        <v>40</v>
      </c>
      <c r="B7" s="11" t="s">
        <v>621</v>
      </c>
      <c r="C7" s="16">
        <v>18</v>
      </c>
      <c r="D7" s="19">
        <v>3.5</v>
      </c>
      <c r="E7" s="16">
        <f aca="true" t="shared" si="0" ref="E7:E15">1.6*C7</f>
        <v>28.8</v>
      </c>
      <c r="F7" s="140" t="s">
        <v>52</v>
      </c>
      <c r="G7" s="63">
        <v>0.3</v>
      </c>
      <c r="H7" s="57">
        <v>0.47</v>
      </c>
      <c r="I7" s="16">
        <v>84</v>
      </c>
      <c r="J7" s="16">
        <v>87</v>
      </c>
      <c r="K7" s="19">
        <v>82</v>
      </c>
      <c r="L7" s="26">
        <f>AVERAGE(0)</f>
        <v>0</v>
      </c>
      <c r="M7" s="40" t="s">
        <v>20</v>
      </c>
      <c r="N7" s="72">
        <f>AVERAGE(1100)</f>
        <v>1100</v>
      </c>
      <c r="O7" s="40" t="s">
        <v>781</v>
      </c>
      <c r="P7" s="26" t="s">
        <v>20</v>
      </c>
      <c r="Q7" s="40" t="s">
        <v>20</v>
      </c>
      <c r="R7" s="35" t="s">
        <v>20</v>
      </c>
      <c r="S7" s="72">
        <v>1330</v>
      </c>
      <c r="T7" s="40" t="s">
        <v>781</v>
      </c>
      <c r="U7" s="35" t="s">
        <v>649</v>
      </c>
    </row>
    <row r="8" spans="1:21" ht="12" customHeight="1">
      <c r="A8" s="62" t="s">
        <v>40</v>
      </c>
      <c r="B8" s="11" t="s">
        <v>506</v>
      </c>
      <c r="C8" s="16">
        <v>21</v>
      </c>
      <c r="D8" s="19">
        <v>2.8</v>
      </c>
      <c r="E8" s="16">
        <f t="shared" si="0"/>
        <v>33.6</v>
      </c>
      <c r="F8" s="140" t="s">
        <v>52</v>
      </c>
      <c r="G8" s="63">
        <v>0.22</v>
      </c>
      <c r="H8" s="57">
        <v>0.6</v>
      </c>
      <c r="I8" s="16">
        <v>109</v>
      </c>
      <c r="J8" s="16">
        <v>87</v>
      </c>
      <c r="K8" s="19">
        <v>87</v>
      </c>
      <c r="L8" s="26">
        <f>AVERAGE(1475)</f>
        <v>1475</v>
      </c>
      <c r="M8" s="40" t="s">
        <v>781</v>
      </c>
      <c r="N8" s="72">
        <f>AVERAGE(1590,1640,1600,1540,1565)</f>
        <v>1587</v>
      </c>
      <c r="O8" s="40" t="s">
        <v>781</v>
      </c>
      <c r="P8" s="26" t="s">
        <v>20</v>
      </c>
      <c r="Q8" s="40" t="s">
        <v>20</v>
      </c>
      <c r="R8" s="35" t="s">
        <v>20</v>
      </c>
      <c r="S8" s="72">
        <v>1541</v>
      </c>
      <c r="T8" s="40" t="s">
        <v>781</v>
      </c>
      <c r="U8" s="35" t="s">
        <v>649</v>
      </c>
    </row>
    <row r="9" spans="1:21" ht="12" customHeight="1">
      <c r="A9" s="62" t="s">
        <v>40</v>
      </c>
      <c r="B9" s="11" t="s">
        <v>753</v>
      </c>
      <c r="C9" s="16">
        <v>25</v>
      </c>
      <c r="D9" s="19">
        <v>2.8</v>
      </c>
      <c r="E9" s="16">
        <f>1.6*C9</f>
        <v>40</v>
      </c>
      <c r="F9" s="140" t="s">
        <v>52</v>
      </c>
      <c r="G9" s="63">
        <v>0.17</v>
      </c>
      <c r="H9" s="57">
        <v>0.48</v>
      </c>
      <c r="I9" s="16">
        <v>66</v>
      </c>
      <c r="J9" s="16">
        <v>65</v>
      </c>
      <c r="K9" s="19">
        <v>58</v>
      </c>
      <c r="L9" s="26">
        <f>AVERAGE(0)</f>
        <v>0</v>
      </c>
      <c r="M9" s="40" t="s">
        <v>20</v>
      </c>
      <c r="N9" s="72">
        <f>AVERAGE(860,860)</f>
        <v>860</v>
      </c>
      <c r="O9" s="40" t="s">
        <v>781</v>
      </c>
      <c r="P9" s="26" t="s">
        <v>20</v>
      </c>
      <c r="Q9" s="40" t="s">
        <v>20</v>
      </c>
      <c r="R9" s="35" t="s">
        <v>20</v>
      </c>
      <c r="S9" s="72">
        <v>750</v>
      </c>
      <c r="T9" s="40" t="s">
        <v>767</v>
      </c>
      <c r="U9" s="35" t="s">
        <v>38</v>
      </c>
    </row>
    <row r="10" spans="1:21" ht="12" customHeight="1">
      <c r="A10" s="62" t="s">
        <v>40</v>
      </c>
      <c r="B10" s="11" t="s">
        <v>664</v>
      </c>
      <c r="C10" s="16">
        <v>28</v>
      </c>
      <c r="D10" s="19">
        <v>2</v>
      </c>
      <c r="E10" s="16">
        <f t="shared" si="0"/>
        <v>44.800000000000004</v>
      </c>
      <c r="F10" s="140" t="s">
        <v>52</v>
      </c>
      <c r="G10" s="63">
        <v>0.24</v>
      </c>
      <c r="H10" s="57">
        <v>0.52</v>
      </c>
      <c r="I10" s="16">
        <v>93</v>
      </c>
      <c r="J10" s="16">
        <v>64</v>
      </c>
      <c r="K10" s="19">
        <v>58</v>
      </c>
      <c r="L10" s="26">
        <f>AVERAGE(0)</f>
        <v>0</v>
      </c>
      <c r="M10" s="40" t="s">
        <v>20</v>
      </c>
      <c r="N10" s="72">
        <f>AVERAGE(850,900)</f>
        <v>875</v>
      </c>
      <c r="O10" s="40" t="s">
        <v>781</v>
      </c>
      <c r="P10" s="26" t="s">
        <v>20</v>
      </c>
      <c r="Q10" s="40" t="s">
        <v>20</v>
      </c>
      <c r="R10" s="35" t="s">
        <v>20</v>
      </c>
      <c r="S10" s="72">
        <v>1111</v>
      </c>
      <c r="T10" s="40" t="s">
        <v>781</v>
      </c>
      <c r="U10" s="35" t="s">
        <v>649</v>
      </c>
    </row>
    <row r="11" spans="1:21" ht="12" customHeight="1">
      <c r="A11" s="62" t="s">
        <v>40</v>
      </c>
      <c r="B11" s="11" t="s">
        <v>665</v>
      </c>
      <c r="C11" s="16">
        <v>35</v>
      </c>
      <c r="D11" s="19">
        <v>2</v>
      </c>
      <c r="E11" s="16">
        <f t="shared" si="0"/>
        <v>56</v>
      </c>
      <c r="F11" s="140" t="s">
        <v>52</v>
      </c>
      <c r="G11" s="63">
        <v>0.3</v>
      </c>
      <c r="H11" s="57">
        <v>0.53</v>
      </c>
      <c r="I11" s="16">
        <v>73</v>
      </c>
      <c r="J11" s="16">
        <v>65</v>
      </c>
      <c r="K11" s="19">
        <v>58</v>
      </c>
      <c r="L11" s="26">
        <f>AVERAGE(825)</f>
        <v>825</v>
      </c>
      <c r="M11" s="40" t="s">
        <v>781</v>
      </c>
      <c r="N11" s="72">
        <f>AVERAGE(805,825,900)</f>
        <v>843.3333333333334</v>
      </c>
      <c r="O11" s="40" t="s">
        <v>781</v>
      </c>
      <c r="P11" s="26" t="s">
        <v>20</v>
      </c>
      <c r="Q11" s="40" t="s">
        <v>20</v>
      </c>
      <c r="R11" s="35" t="s">
        <v>20</v>
      </c>
      <c r="S11" s="72">
        <v>894</v>
      </c>
      <c r="T11" s="40" t="s">
        <v>781</v>
      </c>
      <c r="U11" s="35" t="s">
        <v>649</v>
      </c>
    </row>
    <row r="12" spans="1:21" ht="12" customHeight="1">
      <c r="A12" s="62" t="s">
        <v>40</v>
      </c>
      <c r="B12" s="11" t="s">
        <v>507</v>
      </c>
      <c r="C12" s="16">
        <v>50</v>
      </c>
      <c r="D12" s="19">
        <v>1.4</v>
      </c>
      <c r="E12" s="16">
        <f>1.6*C12</f>
        <v>80</v>
      </c>
      <c r="F12" s="140" t="s">
        <v>52</v>
      </c>
      <c r="G12" s="63">
        <v>0.45</v>
      </c>
      <c r="H12" s="57">
        <v>0.35</v>
      </c>
      <c r="I12" s="16">
        <v>69</v>
      </c>
      <c r="J12" s="16">
        <v>66</v>
      </c>
      <c r="K12" s="19">
        <v>58</v>
      </c>
      <c r="L12" s="26">
        <f>AVERAGE(593,490,550,558,524,555)</f>
        <v>545</v>
      </c>
      <c r="M12" s="40" t="s">
        <v>781</v>
      </c>
      <c r="N12" s="72">
        <f>AVERAGE(630,690,649,660)</f>
        <v>657.25</v>
      </c>
      <c r="O12" s="40" t="s">
        <v>781</v>
      </c>
      <c r="P12" s="26" t="s">
        <v>20</v>
      </c>
      <c r="Q12" s="40" t="s">
        <v>20</v>
      </c>
      <c r="R12" s="35" t="s">
        <v>20</v>
      </c>
      <c r="S12" s="72">
        <v>680</v>
      </c>
      <c r="T12" s="40" t="s">
        <v>781</v>
      </c>
      <c r="U12" s="35" t="s">
        <v>649</v>
      </c>
    </row>
    <row r="13" spans="1:21" ht="12" customHeight="1">
      <c r="A13" s="62" t="s">
        <v>40</v>
      </c>
      <c r="B13" s="11" t="s">
        <v>784</v>
      </c>
      <c r="C13" s="16">
        <v>50</v>
      </c>
      <c r="D13" s="19">
        <v>2</v>
      </c>
      <c r="E13" s="16">
        <f>1.6*C13</f>
        <v>80</v>
      </c>
      <c r="F13" s="140" t="s">
        <v>52</v>
      </c>
      <c r="G13" s="63">
        <v>0.24</v>
      </c>
      <c r="H13" s="57">
        <v>0.53</v>
      </c>
      <c r="I13" s="16">
        <v>88</v>
      </c>
      <c r="J13" s="16">
        <v>72</v>
      </c>
      <c r="K13" s="19">
        <v>67</v>
      </c>
      <c r="L13" s="26">
        <f>AVERAGE(0)</f>
        <v>0</v>
      </c>
      <c r="M13" s="40"/>
      <c r="N13" s="72">
        <f>AVERAGE(950)</f>
        <v>950</v>
      </c>
      <c r="O13" s="40" t="s">
        <v>781</v>
      </c>
      <c r="P13" s="26" t="s">
        <v>20</v>
      </c>
      <c r="Q13" s="40" t="s">
        <v>20</v>
      </c>
      <c r="R13" s="35" t="s">
        <v>20</v>
      </c>
      <c r="S13" s="72">
        <v>1283</v>
      </c>
      <c r="T13" s="40" t="s">
        <v>781</v>
      </c>
      <c r="U13" s="35" t="s">
        <v>38</v>
      </c>
    </row>
    <row r="14" spans="1:21" ht="12" customHeight="1">
      <c r="A14" s="62" t="s">
        <v>40</v>
      </c>
      <c r="B14" s="11" t="s">
        <v>505</v>
      </c>
      <c r="C14" s="16">
        <v>85</v>
      </c>
      <c r="D14" s="19">
        <v>1.4</v>
      </c>
      <c r="E14" s="16">
        <f>1.6*C14</f>
        <v>136</v>
      </c>
      <c r="F14" s="140" t="s">
        <v>52</v>
      </c>
      <c r="G14" s="63">
        <v>1</v>
      </c>
      <c r="H14" s="57">
        <v>0.7</v>
      </c>
      <c r="I14" s="16">
        <v>85</v>
      </c>
      <c r="J14" s="16">
        <v>78</v>
      </c>
      <c r="K14" s="19">
        <v>72</v>
      </c>
      <c r="L14" s="26">
        <f>AVERAGE(877)</f>
        <v>877</v>
      </c>
      <c r="M14" s="40" t="s">
        <v>667</v>
      </c>
      <c r="N14" s="72">
        <f>AVERAGE(1050,945)</f>
        <v>997.5</v>
      </c>
      <c r="O14" s="40" t="s">
        <v>781</v>
      </c>
      <c r="P14" s="26">
        <v>920</v>
      </c>
      <c r="Q14" s="40" t="s">
        <v>667</v>
      </c>
      <c r="R14" s="35" t="s">
        <v>35</v>
      </c>
      <c r="S14" s="72">
        <v>1203</v>
      </c>
      <c r="T14" s="40" t="s">
        <v>781</v>
      </c>
      <c r="U14" s="35" t="s">
        <v>649</v>
      </c>
    </row>
    <row r="15" spans="1:21" s="41" customFormat="1" ht="12" customHeight="1">
      <c r="A15" s="64" t="s">
        <v>40</v>
      </c>
      <c r="B15" s="23" t="s">
        <v>785</v>
      </c>
      <c r="C15" s="28">
        <v>100</v>
      </c>
      <c r="D15" s="45">
        <v>2</v>
      </c>
      <c r="E15" s="28">
        <f t="shared" si="0"/>
        <v>160</v>
      </c>
      <c r="F15" s="141" t="s">
        <v>52</v>
      </c>
      <c r="G15" s="60">
        <v>0.44</v>
      </c>
      <c r="H15" s="61">
        <v>0.68</v>
      </c>
      <c r="I15" s="28">
        <v>113</v>
      </c>
      <c r="J15" s="28">
        <v>76</v>
      </c>
      <c r="K15" s="45">
        <v>67</v>
      </c>
      <c r="L15" s="26">
        <f>AVERAGE(0)</f>
        <v>0</v>
      </c>
      <c r="M15" s="25" t="s">
        <v>20</v>
      </c>
      <c r="N15" s="72">
        <f>AVERAGE(1590,1630,1545)</f>
        <v>1588.3333333333333</v>
      </c>
      <c r="O15" s="40" t="s">
        <v>781</v>
      </c>
      <c r="P15" s="27" t="s">
        <v>20</v>
      </c>
      <c r="Q15" s="25" t="s">
        <v>20</v>
      </c>
      <c r="R15" s="37" t="s">
        <v>20</v>
      </c>
      <c r="S15" s="89">
        <v>1843</v>
      </c>
      <c r="T15" s="40" t="s">
        <v>781</v>
      </c>
      <c r="U15" s="35" t="s">
        <v>38</v>
      </c>
    </row>
    <row r="16" spans="1:21" s="41" customFormat="1" ht="12" customHeight="1">
      <c r="A16" s="143" t="s">
        <v>641</v>
      </c>
      <c r="B16" s="74"/>
      <c r="C16" s="30"/>
      <c r="D16" s="75"/>
      <c r="E16" s="30"/>
      <c r="F16" s="78"/>
      <c r="G16" s="76" t="s">
        <v>20</v>
      </c>
      <c r="H16" s="77" t="s">
        <v>20</v>
      </c>
      <c r="I16" s="30" t="s">
        <v>20</v>
      </c>
      <c r="J16" s="30" t="s">
        <v>20</v>
      </c>
      <c r="K16" s="30" t="s">
        <v>20</v>
      </c>
      <c r="L16" s="30" t="s">
        <v>20</v>
      </c>
      <c r="M16" s="30" t="s">
        <v>20</v>
      </c>
      <c r="N16" s="30" t="s">
        <v>20</v>
      </c>
      <c r="O16" s="30" t="s">
        <v>20</v>
      </c>
      <c r="P16" s="30" t="s">
        <v>20</v>
      </c>
      <c r="Q16" s="30" t="s">
        <v>20</v>
      </c>
      <c r="R16" s="30" t="s">
        <v>20</v>
      </c>
      <c r="S16" s="30" t="s">
        <v>20</v>
      </c>
      <c r="T16" s="30" t="s">
        <v>20</v>
      </c>
      <c r="U16" s="30" t="s">
        <v>20</v>
      </c>
    </row>
    <row r="17" spans="1:21" ht="12" customHeight="1">
      <c r="A17" s="62" t="s">
        <v>40</v>
      </c>
      <c r="B17" s="62" t="s">
        <v>275</v>
      </c>
      <c r="C17" s="16">
        <v>15</v>
      </c>
      <c r="D17" s="19">
        <v>3.5</v>
      </c>
      <c r="E17" s="16">
        <f aca="true" t="shared" si="1" ref="E17:E52">1.6*C17</f>
        <v>24</v>
      </c>
      <c r="F17" s="93" t="s">
        <v>285</v>
      </c>
      <c r="G17" s="63">
        <v>0.16</v>
      </c>
      <c r="H17" s="57">
        <v>0.875</v>
      </c>
      <c r="I17" s="16">
        <v>94</v>
      </c>
      <c r="J17" s="16">
        <v>83.5</v>
      </c>
      <c r="K17" s="16" t="s">
        <v>152</v>
      </c>
      <c r="L17" s="26">
        <f>AVERAGE(1600)</f>
        <v>1600</v>
      </c>
      <c r="M17" s="35" t="s">
        <v>541</v>
      </c>
      <c r="N17" s="16">
        <f>AVERAGE(1975,2136,2350,2249,3499,2590,1526,2100,2231)</f>
        <v>2295.1111111111113</v>
      </c>
      <c r="O17" s="16" t="s">
        <v>661</v>
      </c>
      <c r="P17" s="26">
        <v>1500</v>
      </c>
      <c r="Q17" s="40" t="s">
        <v>704</v>
      </c>
      <c r="R17" s="35" t="s">
        <v>38</v>
      </c>
      <c r="S17" s="72" t="s">
        <v>20</v>
      </c>
      <c r="T17" s="40" t="s">
        <v>20</v>
      </c>
      <c r="U17" s="35" t="s">
        <v>20</v>
      </c>
    </row>
    <row r="18" spans="1:21" ht="12" customHeight="1">
      <c r="A18" s="62" t="s">
        <v>40</v>
      </c>
      <c r="B18" s="62" t="s">
        <v>368</v>
      </c>
      <c r="C18" s="16">
        <v>16</v>
      </c>
      <c r="D18" s="19">
        <v>2.8</v>
      </c>
      <c r="E18" s="16">
        <f t="shared" si="1"/>
        <v>25.6</v>
      </c>
      <c r="F18" s="93" t="s">
        <v>285</v>
      </c>
      <c r="G18" s="63">
        <v>0.3</v>
      </c>
      <c r="H18" s="57">
        <v>0.46</v>
      </c>
      <c r="I18" s="16">
        <v>61.5</v>
      </c>
      <c r="J18" s="16">
        <v>70</v>
      </c>
      <c r="K18" s="35" t="s">
        <v>152</v>
      </c>
      <c r="L18" s="16">
        <f>AVERAGE(749,1199,810,894)</f>
        <v>913</v>
      </c>
      <c r="M18" s="35" t="s">
        <v>601</v>
      </c>
      <c r="N18" s="16">
        <f>AVERAGE(1375,1313,1300)</f>
        <v>1329.3333333333333</v>
      </c>
      <c r="O18" s="16" t="s">
        <v>501</v>
      </c>
      <c r="P18" s="26">
        <v>900</v>
      </c>
      <c r="Q18" s="16" t="s">
        <v>781</v>
      </c>
      <c r="R18" s="35" t="s">
        <v>39</v>
      </c>
      <c r="S18" s="26">
        <v>2500</v>
      </c>
      <c r="T18" s="16" t="s">
        <v>508</v>
      </c>
      <c r="U18" s="35" t="s">
        <v>38</v>
      </c>
    </row>
    <row r="19" spans="1:21" ht="12" customHeight="1">
      <c r="A19" s="62" t="s">
        <v>40</v>
      </c>
      <c r="B19" s="62" t="s">
        <v>276</v>
      </c>
      <c r="C19" s="16">
        <v>18</v>
      </c>
      <c r="D19" s="19">
        <v>4</v>
      </c>
      <c r="E19" s="16">
        <f t="shared" si="1"/>
        <v>28.8</v>
      </c>
      <c r="F19" s="93" t="s">
        <v>285</v>
      </c>
      <c r="G19" s="63">
        <v>0.3</v>
      </c>
      <c r="H19" s="57">
        <v>0.35</v>
      </c>
      <c r="I19" s="16">
        <v>51.5</v>
      </c>
      <c r="J19" s="16">
        <v>70</v>
      </c>
      <c r="K19" s="16" t="s">
        <v>369</v>
      </c>
      <c r="L19" s="26">
        <f>AVERAGE(416,600,660,615,540,671,525,450,465)</f>
        <v>549.1111111111111</v>
      </c>
      <c r="M19" s="35" t="s">
        <v>781</v>
      </c>
      <c r="N19" s="16">
        <f>AVERAGE(611,650,506,750,725,587,691,623,761,726)</f>
        <v>663</v>
      </c>
      <c r="O19" s="16" t="s">
        <v>731</v>
      </c>
      <c r="P19" s="26">
        <v>820</v>
      </c>
      <c r="Q19" s="16" t="s">
        <v>781</v>
      </c>
      <c r="R19" s="35" t="s">
        <v>35</v>
      </c>
      <c r="S19" s="26">
        <v>695</v>
      </c>
      <c r="T19" s="16" t="s">
        <v>453</v>
      </c>
      <c r="U19" s="35" t="s">
        <v>703</v>
      </c>
    </row>
    <row r="20" spans="1:21" ht="12" customHeight="1">
      <c r="A20" s="64" t="s">
        <v>40</v>
      </c>
      <c r="B20" s="64" t="s">
        <v>332</v>
      </c>
      <c r="C20" s="28">
        <v>21</v>
      </c>
      <c r="D20" s="45">
        <v>2.8</v>
      </c>
      <c r="E20" s="28">
        <f t="shared" si="1"/>
        <v>33.6</v>
      </c>
      <c r="F20" s="94" t="s">
        <v>285</v>
      </c>
      <c r="G20" s="60">
        <v>0.22</v>
      </c>
      <c r="H20" s="61">
        <v>0.53</v>
      </c>
      <c r="I20" s="28">
        <v>90.5</v>
      </c>
      <c r="J20" s="28">
        <v>85</v>
      </c>
      <c r="K20" s="37">
        <v>82</v>
      </c>
      <c r="L20" s="27">
        <f>AVERAGE(1298,1477,1295,1293,1299)</f>
        <v>1332.4</v>
      </c>
      <c r="M20" s="28" t="s">
        <v>661</v>
      </c>
      <c r="N20" s="27">
        <f>AVERAGE(1506,1515,1477,1427,1500,1698,1848)</f>
        <v>1567.2857142857142</v>
      </c>
      <c r="O20" s="37" t="s">
        <v>704</v>
      </c>
      <c r="P20" s="27">
        <v>1480</v>
      </c>
      <c r="Q20" s="28" t="s">
        <v>781</v>
      </c>
      <c r="R20" s="37" t="s">
        <v>35</v>
      </c>
      <c r="S20" s="27">
        <v>1800</v>
      </c>
      <c r="T20" s="28" t="s">
        <v>731</v>
      </c>
      <c r="U20" s="37" t="s">
        <v>35</v>
      </c>
    </row>
    <row r="21" spans="1:21" ht="12" customHeight="1">
      <c r="A21" s="62" t="s">
        <v>40</v>
      </c>
      <c r="B21" s="62" t="s">
        <v>241</v>
      </c>
      <c r="C21" s="16">
        <v>25</v>
      </c>
      <c r="D21" s="19">
        <v>2.8</v>
      </c>
      <c r="E21" s="16">
        <f t="shared" si="1"/>
        <v>40</v>
      </c>
      <c r="F21" s="93" t="s">
        <v>285</v>
      </c>
      <c r="G21" s="63">
        <v>0.25</v>
      </c>
      <c r="H21" s="57">
        <v>0.36</v>
      </c>
      <c r="I21" s="16">
        <v>56</v>
      </c>
      <c r="J21" s="16">
        <v>62.5</v>
      </c>
      <c r="K21" s="16">
        <v>55</v>
      </c>
      <c r="L21" s="26">
        <f>AVERAGE(365,400,340,364,345,326,350,305,396,355)</f>
        <v>354.6</v>
      </c>
      <c r="M21" s="35" t="s">
        <v>781</v>
      </c>
      <c r="N21" s="16">
        <f>AVERAGE(560,550,520,450,585,419,510,625,515,531)</f>
        <v>526.5</v>
      </c>
      <c r="O21" s="16" t="s">
        <v>781</v>
      </c>
      <c r="P21" s="26">
        <v>375</v>
      </c>
      <c r="Q21" s="16" t="s">
        <v>781</v>
      </c>
      <c r="R21" s="35" t="s">
        <v>41</v>
      </c>
      <c r="S21" s="26">
        <v>500</v>
      </c>
      <c r="T21" s="16" t="s">
        <v>781</v>
      </c>
      <c r="U21" s="35" t="s">
        <v>35</v>
      </c>
    </row>
    <row r="22" spans="1:21" ht="12" customHeight="1">
      <c r="A22" s="62" t="s">
        <v>40</v>
      </c>
      <c r="B22" s="62" t="s">
        <v>204</v>
      </c>
      <c r="C22" s="16">
        <v>28</v>
      </c>
      <c r="D22" s="19">
        <v>2</v>
      </c>
      <c r="E22" s="16">
        <f t="shared" si="1"/>
        <v>44.800000000000004</v>
      </c>
      <c r="F22" s="93" t="s">
        <v>285</v>
      </c>
      <c r="G22" s="63">
        <v>0.24</v>
      </c>
      <c r="H22" s="57">
        <v>0.53</v>
      </c>
      <c r="I22" s="16">
        <v>76</v>
      </c>
      <c r="J22" s="16">
        <v>62.5</v>
      </c>
      <c r="K22" s="35">
        <v>55</v>
      </c>
      <c r="L22" s="26">
        <f>AVERAGE(611,635,661,650,539,649,610,650,670,400)</f>
        <v>607.5</v>
      </c>
      <c r="M22" s="35" t="s">
        <v>525</v>
      </c>
      <c r="N22" s="16">
        <f>AVERAGE(1101,810,655,832,830,750,780)</f>
        <v>822.5714285714286</v>
      </c>
      <c r="O22" s="16" t="s">
        <v>781</v>
      </c>
      <c r="P22" s="87">
        <v>730</v>
      </c>
      <c r="Q22" s="16" t="s">
        <v>781</v>
      </c>
      <c r="R22" s="43" t="s">
        <v>39</v>
      </c>
      <c r="S22" s="87">
        <v>995</v>
      </c>
      <c r="T22" s="16" t="s">
        <v>466</v>
      </c>
      <c r="U22" s="43" t="s">
        <v>195</v>
      </c>
    </row>
    <row r="23" spans="1:21" ht="12" customHeight="1">
      <c r="A23" s="62" t="s">
        <v>40</v>
      </c>
      <c r="B23" s="62" t="s">
        <v>205</v>
      </c>
      <c r="C23" s="16">
        <v>28</v>
      </c>
      <c r="D23" s="19">
        <v>2.8</v>
      </c>
      <c r="E23" s="16">
        <f t="shared" si="1"/>
        <v>44.800000000000004</v>
      </c>
      <c r="F23" s="93" t="s">
        <v>285</v>
      </c>
      <c r="G23" s="63">
        <v>0.25</v>
      </c>
      <c r="H23" s="57">
        <v>0.28</v>
      </c>
      <c r="I23" s="16">
        <v>50</v>
      </c>
      <c r="J23" s="16">
        <v>63</v>
      </c>
      <c r="K23" s="35">
        <v>55</v>
      </c>
      <c r="L23" s="26">
        <f>AVERAGE(230,250,257,233,203,213,241)</f>
        <v>232.42857142857142</v>
      </c>
      <c r="M23" s="35" t="s">
        <v>781</v>
      </c>
      <c r="N23" s="16">
        <f>AVERAGE(300,280,301,355,310,352,305,340,328)</f>
        <v>319</v>
      </c>
      <c r="O23" s="16" t="s">
        <v>781</v>
      </c>
      <c r="P23" s="87">
        <v>335</v>
      </c>
      <c r="Q23" s="16" t="s">
        <v>781</v>
      </c>
      <c r="R23" s="43" t="s">
        <v>39</v>
      </c>
      <c r="S23" s="87">
        <v>340</v>
      </c>
      <c r="T23" s="16" t="s">
        <v>601</v>
      </c>
      <c r="U23" s="43" t="s">
        <v>35</v>
      </c>
    </row>
    <row r="24" spans="1:21" ht="12" customHeight="1">
      <c r="A24" s="62" t="s">
        <v>40</v>
      </c>
      <c r="B24" s="47" t="s">
        <v>206</v>
      </c>
      <c r="C24" s="16">
        <v>35</v>
      </c>
      <c r="D24" s="19">
        <v>1.4</v>
      </c>
      <c r="E24" s="16">
        <f t="shared" si="1"/>
        <v>56</v>
      </c>
      <c r="F24" s="93" t="s">
        <v>285</v>
      </c>
      <c r="G24" s="63">
        <v>0.3</v>
      </c>
      <c r="H24" s="57">
        <v>0.6</v>
      </c>
      <c r="I24" s="16">
        <v>76</v>
      </c>
      <c r="J24" s="16">
        <v>70</v>
      </c>
      <c r="K24" s="16">
        <v>67</v>
      </c>
      <c r="L24" s="26">
        <f>AVERAGE(740,875,868,850,810,921,721,760,698)</f>
        <v>804.7777777777778</v>
      </c>
      <c r="M24" s="35" t="s">
        <v>601</v>
      </c>
      <c r="N24" s="16">
        <f>AVERAGE(1118,999,1098,900,971,1299,1383)</f>
        <v>1109.7142857142858</v>
      </c>
      <c r="O24" s="16" t="s">
        <v>781</v>
      </c>
      <c r="P24" s="87">
        <v>825</v>
      </c>
      <c r="Q24" s="16" t="s">
        <v>667</v>
      </c>
      <c r="R24" s="43" t="s">
        <v>33</v>
      </c>
      <c r="S24" s="87">
        <v>1500</v>
      </c>
      <c r="T24" s="16" t="s">
        <v>447</v>
      </c>
      <c r="U24" s="43" t="s">
        <v>38</v>
      </c>
    </row>
    <row r="25" spans="1:21" ht="12" customHeight="1">
      <c r="A25" s="62" t="s">
        <v>40</v>
      </c>
      <c r="B25" s="47" t="s">
        <v>331</v>
      </c>
      <c r="C25" s="16">
        <v>35</v>
      </c>
      <c r="D25" s="19">
        <v>2.8</v>
      </c>
      <c r="E25" s="16">
        <f t="shared" si="1"/>
        <v>56</v>
      </c>
      <c r="F25" s="93" t="s">
        <v>285</v>
      </c>
      <c r="G25" s="63">
        <v>0.4</v>
      </c>
      <c r="H25" s="57">
        <v>0.24</v>
      </c>
      <c r="I25" s="16">
        <v>46</v>
      </c>
      <c r="J25" s="16">
        <v>62.5</v>
      </c>
      <c r="K25" s="35">
        <v>55</v>
      </c>
      <c r="L25" s="26">
        <f>AVERAGE(220,189,170,209,220,177,185,167,218,188,)</f>
        <v>176.63636363636363</v>
      </c>
      <c r="M25" s="16" t="s">
        <v>781</v>
      </c>
      <c r="N25" s="26">
        <f>AVERAGE(375,300,203,295,295,300)</f>
        <v>294.6666666666667</v>
      </c>
      <c r="O25" s="16" t="s">
        <v>781</v>
      </c>
      <c r="P25" s="87">
        <v>340</v>
      </c>
      <c r="Q25" s="16" t="s">
        <v>781</v>
      </c>
      <c r="R25" s="43" t="s">
        <v>35</v>
      </c>
      <c r="S25" s="87">
        <v>275</v>
      </c>
      <c r="T25" s="16" t="s">
        <v>731</v>
      </c>
      <c r="U25" s="43" t="s">
        <v>37</v>
      </c>
    </row>
    <row r="26" spans="1:21" ht="12" customHeight="1">
      <c r="A26" s="64" t="s">
        <v>40</v>
      </c>
      <c r="B26" s="64" t="s">
        <v>361</v>
      </c>
      <c r="C26" s="28">
        <v>35</v>
      </c>
      <c r="D26" s="45">
        <v>2.8</v>
      </c>
      <c r="E26" s="28">
        <f t="shared" si="1"/>
        <v>56</v>
      </c>
      <c r="F26" s="94" t="s">
        <v>285</v>
      </c>
      <c r="G26" s="60">
        <v>0.3</v>
      </c>
      <c r="H26" s="61">
        <v>0.74</v>
      </c>
      <c r="I26" s="28">
        <v>85.6</v>
      </c>
      <c r="J26" s="28">
        <v>70</v>
      </c>
      <c r="K26" s="37" t="s">
        <v>367</v>
      </c>
      <c r="L26" s="27">
        <f>AVERAGE(800,899)</f>
        <v>849.5</v>
      </c>
      <c r="M26" s="28" t="s">
        <v>541</v>
      </c>
      <c r="N26" s="27">
        <f>AVERAGE(1150,950,1432,1400,1799,1600,2150,1500,1695)</f>
        <v>1519.5555555555557</v>
      </c>
      <c r="O26" s="37" t="s">
        <v>601</v>
      </c>
      <c r="P26" s="27" t="s">
        <v>20</v>
      </c>
      <c r="Q26" s="28" t="s">
        <v>20</v>
      </c>
      <c r="R26" s="37" t="s">
        <v>20</v>
      </c>
      <c r="S26" s="27" t="s">
        <v>20</v>
      </c>
      <c r="T26" s="28" t="s">
        <v>20</v>
      </c>
      <c r="U26" s="37" t="s">
        <v>20</v>
      </c>
    </row>
    <row r="27" spans="1:21" ht="12" customHeight="1">
      <c r="A27" s="62" t="s">
        <v>40</v>
      </c>
      <c r="B27" s="47" t="s">
        <v>207</v>
      </c>
      <c r="C27" s="16">
        <v>45</v>
      </c>
      <c r="D27" s="19">
        <v>2.8</v>
      </c>
      <c r="E27" s="16">
        <f t="shared" si="1"/>
        <v>72</v>
      </c>
      <c r="F27" s="93" t="s">
        <v>285</v>
      </c>
      <c r="G27" s="63">
        <v>0.6</v>
      </c>
      <c r="H27" s="57">
        <v>0.09</v>
      </c>
      <c r="I27" s="16">
        <v>18</v>
      </c>
      <c r="J27" s="16">
        <v>58</v>
      </c>
      <c r="K27" s="35">
        <v>49</v>
      </c>
      <c r="L27" s="26">
        <f>AVERAGE(164,150,158,132,133,123,150,158,163,170)</f>
        <v>150.1</v>
      </c>
      <c r="M27" s="16" t="s">
        <v>731</v>
      </c>
      <c r="N27" s="26">
        <f>AVERAGE(345,300,325,300,230)</f>
        <v>300</v>
      </c>
      <c r="O27" s="16" t="s">
        <v>781</v>
      </c>
      <c r="P27" s="87">
        <v>200</v>
      </c>
      <c r="Q27" s="16" t="s">
        <v>781</v>
      </c>
      <c r="R27" s="43" t="s">
        <v>780</v>
      </c>
      <c r="S27" s="87">
        <v>310</v>
      </c>
      <c r="T27" s="16" t="s">
        <v>601</v>
      </c>
      <c r="U27" s="43" t="s">
        <v>38</v>
      </c>
    </row>
    <row r="28" spans="1:21" ht="12" customHeight="1">
      <c r="A28" s="62" t="s">
        <v>40</v>
      </c>
      <c r="B28" s="47" t="s">
        <v>208</v>
      </c>
      <c r="C28" s="16">
        <v>50</v>
      </c>
      <c r="D28" s="19">
        <v>1.4</v>
      </c>
      <c r="E28" s="16">
        <f t="shared" si="1"/>
        <v>80</v>
      </c>
      <c r="F28" s="93" t="s">
        <v>285</v>
      </c>
      <c r="G28" s="63">
        <v>0.45</v>
      </c>
      <c r="H28" s="57">
        <v>0.29</v>
      </c>
      <c r="I28" s="16">
        <v>41</v>
      </c>
      <c r="J28" s="16">
        <v>62.5</v>
      </c>
      <c r="K28" s="35">
        <v>55</v>
      </c>
      <c r="L28" s="26">
        <f>AVERAGE(250,241,240,213,210,222,225)</f>
        <v>228.71428571428572</v>
      </c>
      <c r="M28" s="16" t="s">
        <v>781</v>
      </c>
      <c r="N28" s="26">
        <f>AVERAGE(365,295,355,305,355,325)</f>
        <v>333.3333333333333</v>
      </c>
      <c r="O28" s="16" t="s">
        <v>781</v>
      </c>
      <c r="P28" s="87">
        <v>259</v>
      </c>
      <c r="Q28" s="16" t="s">
        <v>781</v>
      </c>
      <c r="R28" s="43" t="s">
        <v>38</v>
      </c>
      <c r="S28" s="87">
        <v>365</v>
      </c>
      <c r="T28" s="16" t="s">
        <v>781</v>
      </c>
      <c r="U28" s="43" t="s">
        <v>35</v>
      </c>
    </row>
    <row r="29" spans="1:21" ht="12" customHeight="1">
      <c r="A29" s="62" t="s">
        <v>40</v>
      </c>
      <c r="B29" s="47" t="s">
        <v>209</v>
      </c>
      <c r="C29" s="16">
        <v>50</v>
      </c>
      <c r="D29" s="19">
        <v>1.7</v>
      </c>
      <c r="E29" s="16">
        <f t="shared" si="1"/>
        <v>80</v>
      </c>
      <c r="F29" s="93" t="s">
        <v>285</v>
      </c>
      <c r="G29" s="63">
        <v>0.6</v>
      </c>
      <c r="H29" s="57">
        <v>0.19</v>
      </c>
      <c r="I29" s="16">
        <v>36</v>
      </c>
      <c r="J29" s="16">
        <v>59</v>
      </c>
      <c r="K29" s="35">
        <v>55</v>
      </c>
      <c r="L29" s="26">
        <f>AVERAGE(135,110,125,136,133,125,123,110,110)</f>
        <v>123</v>
      </c>
      <c r="M29" s="16" t="s">
        <v>781</v>
      </c>
      <c r="N29" s="26">
        <f>AVERAGE(167,155,150,160,150,124)</f>
        <v>151</v>
      </c>
      <c r="O29" s="16" t="s">
        <v>781</v>
      </c>
      <c r="P29" s="87">
        <v>85</v>
      </c>
      <c r="Q29" s="16" t="s">
        <v>781</v>
      </c>
      <c r="R29" s="43" t="s">
        <v>41</v>
      </c>
      <c r="S29" s="87">
        <v>150</v>
      </c>
      <c r="T29" s="16" t="s">
        <v>601</v>
      </c>
      <c r="U29" s="43" t="s">
        <v>35</v>
      </c>
    </row>
    <row r="30" spans="1:21" ht="12" customHeight="1">
      <c r="A30" s="62" t="s">
        <v>40</v>
      </c>
      <c r="B30" s="47" t="s">
        <v>467</v>
      </c>
      <c r="C30" s="16">
        <v>55</v>
      </c>
      <c r="D30" s="19">
        <v>1.2</v>
      </c>
      <c r="E30" s="16">
        <f t="shared" si="1"/>
        <v>88</v>
      </c>
      <c r="F30" s="93" t="s">
        <v>285</v>
      </c>
      <c r="G30" s="63">
        <v>0.6</v>
      </c>
      <c r="H30" s="57">
        <v>0.5</v>
      </c>
      <c r="I30" s="16">
        <v>60</v>
      </c>
      <c r="J30" s="16">
        <v>80</v>
      </c>
      <c r="K30" s="35">
        <v>77</v>
      </c>
      <c r="L30" s="26">
        <f>AVERAGE(0)</f>
        <v>0</v>
      </c>
      <c r="M30" s="16" t="s">
        <v>20</v>
      </c>
      <c r="N30" s="26">
        <f>AVERAGE(4766)</f>
        <v>4766</v>
      </c>
      <c r="O30" s="16" t="s">
        <v>470</v>
      </c>
      <c r="P30" s="87" t="s">
        <v>20</v>
      </c>
      <c r="Q30" s="16" t="s">
        <v>20</v>
      </c>
      <c r="R30" s="43" t="s">
        <v>20</v>
      </c>
      <c r="S30" s="87" t="s">
        <v>20</v>
      </c>
      <c r="T30" s="16" t="s">
        <v>20</v>
      </c>
      <c r="U30" s="43" t="s">
        <v>20</v>
      </c>
    </row>
    <row r="31" spans="1:21" ht="12" customHeight="1">
      <c r="A31" s="62" t="s">
        <v>40</v>
      </c>
      <c r="B31" s="47" t="s">
        <v>770</v>
      </c>
      <c r="C31" s="16">
        <v>60</v>
      </c>
      <c r="D31" s="19">
        <v>2.8</v>
      </c>
      <c r="E31" s="16">
        <f>1.6*C31</f>
        <v>96</v>
      </c>
      <c r="F31" s="93" t="s">
        <v>285</v>
      </c>
      <c r="G31" s="63" t="s">
        <v>20</v>
      </c>
      <c r="H31" s="57">
        <v>0.57</v>
      </c>
      <c r="I31" s="16">
        <v>74</v>
      </c>
      <c r="J31" s="16">
        <v>75.5</v>
      </c>
      <c r="K31" s="35">
        <v>67</v>
      </c>
      <c r="L31" s="26">
        <f>AVERAGE(403,500,455,365,371,375,326,385,355)</f>
        <v>392.77777777777777</v>
      </c>
      <c r="M31" s="16" t="s">
        <v>781</v>
      </c>
      <c r="N31" s="26">
        <f>AVERAGE(535,550,428,415,452,525,471,525,500,515,415)</f>
        <v>484.6363636363636</v>
      </c>
      <c r="O31" s="16" t="s">
        <v>720</v>
      </c>
      <c r="P31" s="87">
        <v>475</v>
      </c>
      <c r="Q31" s="16" t="s">
        <v>781</v>
      </c>
      <c r="R31" s="43" t="s">
        <v>41</v>
      </c>
      <c r="S31" s="87">
        <v>400</v>
      </c>
      <c r="T31" s="16" t="s">
        <v>523</v>
      </c>
      <c r="U31" s="43" t="s">
        <v>39</v>
      </c>
    </row>
    <row r="32" spans="1:21" ht="12" customHeight="1">
      <c r="A32" s="64" t="s">
        <v>40</v>
      </c>
      <c r="B32" s="64" t="s">
        <v>565</v>
      </c>
      <c r="C32" s="28">
        <v>60</v>
      </c>
      <c r="D32" s="45">
        <v>2.8</v>
      </c>
      <c r="E32" s="28">
        <f t="shared" si="1"/>
        <v>96</v>
      </c>
      <c r="F32" s="94" t="s">
        <v>285</v>
      </c>
      <c r="G32" s="60">
        <v>0.27</v>
      </c>
      <c r="H32" s="61">
        <v>0.27</v>
      </c>
      <c r="I32" s="28">
        <v>51.5</v>
      </c>
      <c r="J32" s="28">
        <v>64.5</v>
      </c>
      <c r="K32" s="37">
        <v>55</v>
      </c>
      <c r="L32" s="27">
        <f>AVERAGE(0)</f>
        <v>0</v>
      </c>
      <c r="M32" s="28" t="s">
        <v>20</v>
      </c>
      <c r="N32" s="27">
        <f>AVERAGE(0)</f>
        <v>0</v>
      </c>
      <c r="O32" s="37" t="s">
        <v>20</v>
      </c>
      <c r="P32" s="27">
        <v>450</v>
      </c>
      <c r="Q32" s="28" t="s">
        <v>781</v>
      </c>
      <c r="R32" s="37" t="s">
        <v>35</v>
      </c>
      <c r="S32" s="27" t="s">
        <v>20</v>
      </c>
      <c r="T32" s="28" t="s">
        <v>20</v>
      </c>
      <c r="U32" s="37" t="s">
        <v>20</v>
      </c>
    </row>
    <row r="33" spans="1:21" ht="12" customHeight="1">
      <c r="A33" s="62" t="s">
        <v>40</v>
      </c>
      <c r="B33" s="47" t="s">
        <v>259</v>
      </c>
      <c r="C33" s="16">
        <v>85</v>
      </c>
      <c r="D33" s="19">
        <v>1.2</v>
      </c>
      <c r="E33" s="16">
        <f t="shared" si="1"/>
        <v>136</v>
      </c>
      <c r="F33" s="93" t="s">
        <v>285</v>
      </c>
      <c r="G33" s="63">
        <v>1</v>
      </c>
      <c r="H33" s="57">
        <v>0.874</v>
      </c>
      <c r="I33" s="16">
        <v>72.5</v>
      </c>
      <c r="J33" s="16">
        <v>80</v>
      </c>
      <c r="K33" s="35">
        <v>77</v>
      </c>
      <c r="L33" s="26">
        <f>AVERAGE(2337)</f>
        <v>2337</v>
      </c>
      <c r="M33" s="16" t="s">
        <v>661</v>
      </c>
      <c r="N33" s="26">
        <f>AVERAGE(4200,6699,4999,4350,4050)</f>
        <v>4859.6</v>
      </c>
      <c r="O33" s="16" t="s">
        <v>541</v>
      </c>
      <c r="P33" s="87" t="s">
        <v>20</v>
      </c>
      <c r="Q33" s="16" t="s">
        <v>20</v>
      </c>
      <c r="R33" s="43" t="s">
        <v>20</v>
      </c>
      <c r="S33" s="87">
        <v>4200</v>
      </c>
      <c r="T33" s="16" t="s">
        <v>362</v>
      </c>
      <c r="U33" s="43" t="s">
        <v>195</v>
      </c>
    </row>
    <row r="34" spans="1:21" ht="12" customHeight="1">
      <c r="A34" s="62" t="s">
        <v>40</v>
      </c>
      <c r="B34" s="47" t="s">
        <v>210</v>
      </c>
      <c r="C34" s="16">
        <v>85</v>
      </c>
      <c r="D34" s="19">
        <v>1.4</v>
      </c>
      <c r="E34" s="16">
        <f t="shared" si="1"/>
        <v>136</v>
      </c>
      <c r="F34" s="93" t="s">
        <v>285</v>
      </c>
      <c r="G34" s="63">
        <v>1</v>
      </c>
      <c r="H34" s="57">
        <v>0.595</v>
      </c>
      <c r="I34" s="16">
        <v>64</v>
      </c>
      <c r="J34" s="16">
        <v>70</v>
      </c>
      <c r="K34" s="35">
        <v>67</v>
      </c>
      <c r="L34" s="26">
        <f>AVERAGE(545,455,405,510,450,425,455,468)</f>
        <v>464.125</v>
      </c>
      <c r="M34" s="16" t="s">
        <v>781</v>
      </c>
      <c r="N34" s="26">
        <f>AVERAGE(604,599,650,607,618,715,579,699,595)</f>
        <v>629.5555555555555</v>
      </c>
      <c r="O34" s="16" t="s">
        <v>781</v>
      </c>
      <c r="P34" s="87">
        <v>565</v>
      </c>
      <c r="Q34" s="16" t="s">
        <v>781</v>
      </c>
      <c r="R34" s="43" t="s">
        <v>41</v>
      </c>
      <c r="S34" s="87">
        <v>800</v>
      </c>
      <c r="T34" s="16" t="s">
        <v>601</v>
      </c>
      <c r="U34" s="43" t="s">
        <v>38</v>
      </c>
    </row>
    <row r="35" spans="1:21" ht="12" customHeight="1">
      <c r="A35" s="62" t="s">
        <v>40</v>
      </c>
      <c r="B35" s="47" t="s">
        <v>269</v>
      </c>
      <c r="C35" s="16">
        <v>85</v>
      </c>
      <c r="D35" s="19">
        <v>2.8</v>
      </c>
      <c r="E35" s="16">
        <f t="shared" si="1"/>
        <v>136</v>
      </c>
      <c r="F35" s="93" t="s">
        <v>285</v>
      </c>
      <c r="G35" s="63">
        <v>1</v>
      </c>
      <c r="H35" s="57">
        <v>0.23</v>
      </c>
      <c r="I35" s="16">
        <v>46.5</v>
      </c>
      <c r="J35" s="16">
        <v>61</v>
      </c>
      <c r="K35" s="35">
        <v>55</v>
      </c>
      <c r="L35" s="26">
        <f>AVERAGE(198,204,163,190,166,228,118)</f>
        <v>181</v>
      </c>
      <c r="M35" s="16" t="s">
        <v>525</v>
      </c>
      <c r="N35" s="26">
        <f>AVERAGE(265,235,243,233,245,300,296,265,333,265,229)</f>
        <v>264.45454545454544</v>
      </c>
      <c r="O35" s="16" t="s">
        <v>731</v>
      </c>
      <c r="P35" s="87">
        <v>325</v>
      </c>
      <c r="Q35" s="16" t="s">
        <v>781</v>
      </c>
      <c r="R35" s="43" t="s">
        <v>35</v>
      </c>
      <c r="S35" s="87">
        <v>500</v>
      </c>
      <c r="T35" s="16" t="s">
        <v>781</v>
      </c>
      <c r="U35" s="43" t="s">
        <v>35</v>
      </c>
    </row>
    <row r="36" spans="1:21" ht="12" customHeight="1">
      <c r="A36" s="62" t="s">
        <v>40</v>
      </c>
      <c r="B36" s="47" t="s">
        <v>211</v>
      </c>
      <c r="C36" s="16">
        <v>100</v>
      </c>
      <c r="D36" s="19">
        <v>2</v>
      </c>
      <c r="E36" s="16">
        <f t="shared" si="1"/>
        <v>160</v>
      </c>
      <c r="F36" s="93" t="s">
        <v>285</v>
      </c>
      <c r="G36" s="52">
        <v>1</v>
      </c>
      <c r="H36" s="57">
        <v>0.67</v>
      </c>
      <c r="I36" s="16">
        <v>84</v>
      </c>
      <c r="J36" s="16">
        <v>70</v>
      </c>
      <c r="K36" s="35">
        <v>67</v>
      </c>
      <c r="L36" s="26">
        <f>AVERAGE(799,698,849,459,511,600,591,576,640,599)</f>
        <v>632.2</v>
      </c>
      <c r="M36" s="16" t="s">
        <v>731</v>
      </c>
      <c r="N36" s="26">
        <f>AVERAGE(1100,989,930,790,1200,1000)</f>
        <v>1001.5</v>
      </c>
      <c r="O36" s="16" t="s">
        <v>781</v>
      </c>
      <c r="P36" s="87">
        <v>725</v>
      </c>
      <c r="Q36" s="16" t="s">
        <v>435</v>
      </c>
      <c r="R36" s="43" t="s">
        <v>35</v>
      </c>
      <c r="S36" s="87">
        <v>1035</v>
      </c>
      <c r="T36" s="16" t="s">
        <v>362</v>
      </c>
      <c r="U36" s="43" t="s">
        <v>35</v>
      </c>
    </row>
    <row r="37" spans="1:21" ht="12" customHeight="1">
      <c r="A37" s="62" t="s">
        <v>40</v>
      </c>
      <c r="B37" s="47" t="s">
        <v>212</v>
      </c>
      <c r="C37" s="16">
        <v>100</v>
      </c>
      <c r="D37" s="19">
        <v>2.8</v>
      </c>
      <c r="E37" s="16">
        <f t="shared" si="1"/>
        <v>160</v>
      </c>
      <c r="F37" s="93" t="s">
        <v>285</v>
      </c>
      <c r="G37" s="52">
        <v>0.45</v>
      </c>
      <c r="H37" s="57">
        <v>0.74</v>
      </c>
      <c r="I37" s="16">
        <v>86.8</v>
      </c>
      <c r="J37" s="16">
        <v>76.4</v>
      </c>
      <c r="K37" s="35">
        <v>67</v>
      </c>
      <c r="L37" s="26">
        <f>AVERAGE(620,600,699,789,648,598,719,560)</f>
        <v>654.125</v>
      </c>
      <c r="M37" s="16" t="s">
        <v>731</v>
      </c>
      <c r="N37" s="26">
        <f>AVERAGE(850,985,1179,895,820,850,890,950,862)</f>
        <v>920.1111111111111</v>
      </c>
      <c r="O37" s="16" t="s">
        <v>731</v>
      </c>
      <c r="P37" s="87">
        <v>645</v>
      </c>
      <c r="Q37" s="16" t="s">
        <v>731</v>
      </c>
      <c r="R37" s="43" t="s">
        <v>35</v>
      </c>
      <c r="S37" s="87">
        <v>920</v>
      </c>
      <c r="T37" s="16" t="s">
        <v>661</v>
      </c>
      <c r="U37" s="43" t="s">
        <v>35</v>
      </c>
    </row>
    <row r="38" spans="1:21" ht="12" customHeight="1">
      <c r="A38" s="62" t="s">
        <v>40</v>
      </c>
      <c r="B38" s="47" t="s">
        <v>611</v>
      </c>
      <c r="C38" s="16">
        <v>100</v>
      </c>
      <c r="D38" s="19">
        <v>4</v>
      </c>
      <c r="E38" s="16">
        <f t="shared" si="1"/>
        <v>160</v>
      </c>
      <c r="F38" s="93" t="s">
        <v>285</v>
      </c>
      <c r="G38" s="52" t="s">
        <v>36</v>
      </c>
      <c r="H38" s="57">
        <v>0.28</v>
      </c>
      <c r="I38" s="16">
        <v>48.5</v>
      </c>
      <c r="J38" s="16">
        <v>62.5</v>
      </c>
      <c r="K38" s="35">
        <v>55</v>
      </c>
      <c r="L38" s="26" t="s">
        <v>20</v>
      </c>
      <c r="M38" s="16" t="s">
        <v>20</v>
      </c>
      <c r="N38" s="26" t="s">
        <v>20</v>
      </c>
      <c r="O38" s="16" t="s">
        <v>20</v>
      </c>
      <c r="P38" s="87" t="s">
        <v>20</v>
      </c>
      <c r="Q38" s="16" t="s">
        <v>20</v>
      </c>
      <c r="R38" s="43" t="s">
        <v>20</v>
      </c>
      <c r="S38" s="87" t="s">
        <v>20</v>
      </c>
      <c r="T38" s="16" t="s">
        <v>20</v>
      </c>
      <c r="U38" s="43" t="s">
        <v>20</v>
      </c>
    </row>
    <row r="39" spans="1:21" ht="12" customHeight="1">
      <c r="A39" s="62" t="s">
        <v>40</v>
      </c>
      <c r="B39" s="47" t="s">
        <v>273</v>
      </c>
      <c r="C39" s="16">
        <v>100</v>
      </c>
      <c r="D39" s="19">
        <v>3.5</v>
      </c>
      <c r="E39" s="16">
        <f t="shared" si="1"/>
        <v>160</v>
      </c>
      <c r="F39" s="93" t="s">
        <v>285</v>
      </c>
      <c r="G39" s="52" t="s">
        <v>20</v>
      </c>
      <c r="H39" s="57" t="s">
        <v>20</v>
      </c>
      <c r="I39" s="16" t="s">
        <v>20</v>
      </c>
      <c r="J39" s="16" t="s">
        <v>20</v>
      </c>
      <c r="K39" s="35">
        <v>55</v>
      </c>
      <c r="L39" s="26">
        <f>AVERAGE(245,203)</f>
        <v>224</v>
      </c>
      <c r="M39" s="16" t="s">
        <v>536</v>
      </c>
      <c r="N39" s="26">
        <f>AVERAGE(282,343,294)</f>
        <v>306.3333333333333</v>
      </c>
      <c r="O39" s="16" t="s">
        <v>452</v>
      </c>
      <c r="P39" s="87">
        <v>350</v>
      </c>
      <c r="Q39" s="16" t="s">
        <v>731</v>
      </c>
      <c r="R39" s="43" t="s">
        <v>38</v>
      </c>
      <c r="S39" s="87">
        <v>415</v>
      </c>
      <c r="T39" s="16" t="s">
        <v>731</v>
      </c>
      <c r="U39" s="43" t="s">
        <v>37</v>
      </c>
    </row>
    <row r="40" spans="1:21" ht="12" customHeight="1">
      <c r="A40" s="62" t="s">
        <v>40</v>
      </c>
      <c r="B40" s="47" t="s">
        <v>258</v>
      </c>
      <c r="C40" s="16">
        <v>135</v>
      </c>
      <c r="D40" s="19">
        <v>2</v>
      </c>
      <c r="E40" s="16">
        <f t="shared" si="1"/>
        <v>216</v>
      </c>
      <c r="F40" s="93" t="s">
        <v>285</v>
      </c>
      <c r="G40" s="52">
        <v>1.5</v>
      </c>
      <c r="H40" s="57">
        <v>0.79</v>
      </c>
      <c r="I40" s="16">
        <v>101</v>
      </c>
      <c r="J40" s="16">
        <v>75</v>
      </c>
      <c r="K40" s="35">
        <v>72</v>
      </c>
      <c r="L40" s="26">
        <f>AVERAGE(0)</f>
        <v>0</v>
      </c>
      <c r="M40" s="16" t="s">
        <v>20</v>
      </c>
      <c r="N40" s="26">
        <f>AVERAGE(1100,1290,900,1101,1107,970)</f>
        <v>1078</v>
      </c>
      <c r="O40" s="16" t="s">
        <v>781</v>
      </c>
      <c r="P40" s="87">
        <v>960</v>
      </c>
      <c r="Q40" s="16" t="s">
        <v>601</v>
      </c>
      <c r="R40" s="43" t="s">
        <v>35</v>
      </c>
      <c r="S40" s="87">
        <v>1550</v>
      </c>
      <c r="T40" s="16" t="s">
        <v>466</v>
      </c>
      <c r="U40" s="43" t="s">
        <v>195</v>
      </c>
    </row>
    <row r="41" spans="1:21" ht="12" customHeight="1">
      <c r="A41" s="64" t="s">
        <v>40</v>
      </c>
      <c r="B41" s="64" t="s">
        <v>271</v>
      </c>
      <c r="C41" s="28">
        <v>135</v>
      </c>
      <c r="D41" s="45">
        <v>2.8</v>
      </c>
      <c r="E41" s="28">
        <f t="shared" si="1"/>
        <v>216</v>
      </c>
      <c r="F41" s="94" t="s">
        <v>285</v>
      </c>
      <c r="G41" s="60">
        <v>1.6</v>
      </c>
      <c r="H41" s="61">
        <v>0.585</v>
      </c>
      <c r="I41" s="28">
        <v>93</v>
      </c>
      <c r="J41" s="28">
        <v>68.5</v>
      </c>
      <c r="K41" s="37">
        <v>55</v>
      </c>
      <c r="L41" s="27">
        <f>AVERAGE(176,163,171,153,203,159,114,171,152,143,169)</f>
        <v>161.27272727272728</v>
      </c>
      <c r="M41" s="28" t="s">
        <v>781</v>
      </c>
      <c r="N41" s="27">
        <f>AVERAGE(211,295,234,252,239,239,250,258,245,228,225)</f>
        <v>243.27272727272728</v>
      </c>
      <c r="O41" s="37" t="s">
        <v>781</v>
      </c>
      <c r="P41" s="27">
        <v>200</v>
      </c>
      <c r="Q41" s="28" t="s">
        <v>781</v>
      </c>
      <c r="R41" s="37" t="s">
        <v>39</v>
      </c>
      <c r="S41" s="27">
        <v>228</v>
      </c>
      <c r="T41" s="28" t="s">
        <v>767</v>
      </c>
      <c r="U41" s="37" t="s">
        <v>38</v>
      </c>
    </row>
    <row r="42" spans="1:21" s="41" customFormat="1" ht="12" customHeight="1">
      <c r="A42" s="62"/>
      <c r="B42" s="62"/>
      <c r="C42" s="16"/>
      <c r="D42" s="19"/>
      <c r="E42" s="16"/>
      <c r="F42" s="57"/>
      <c r="G42" s="48" t="s">
        <v>20</v>
      </c>
      <c r="H42" s="57" t="s">
        <v>20</v>
      </c>
      <c r="I42" s="16" t="s">
        <v>20</v>
      </c>
      <c r="J42" s="16" t="s">
        <v>20</v>
      </c>
      <c r="K42" s="16" t="s">
        <v>20</v>
      </c>
      <c r="L42" s="16" t="s">
        <v>20</v>
      </c>
      <c r="M42" s="16" t="s">
        <v>20</v>
      </c>
      <c r="N42" s="16" t="s">
        <v>20</v>
      </c>
      <c r="O42" s="16" t="s">
        <v>20</v>
      </c>
      <c r="P42" s="16" t="s">
        <v>20</v>
      </c>
      <c r="Q42" s="16" t="s">
        <v>20</v>
      </c>
      <c r="R42" s="16" t="s">
        <v>20</v>
      </c>
      <c r="S42" s="16" t="s">
        <v>20</v>
      </c>
      <c r="T42" s="16" t="s">
        <v>20</v>
      </c>
      <c r="U42" s="16" t="s">
        <v>20</v>
      </c>
    </row>
    <row r="43" spans="1:21" s="41" customFormat="1" ht="12" customHeight="1">
      <c r="A43" s="143" t="s">
        <v>629</v>
      </c>
      <c r="B43" s="74"/>
      <c r="C43" s="30"/>
      <c r="D43" s="75"/>
      <c r="E43" s="30"/>
      <c r="F43" s="78"/>
      <c r="G43" s="76" t="s">
        <v>20</v>
      </c>
      <c r="H43" s="77" t="s">
        <v>20</v>
      </c>
      <c r="I43" s="30" t="s">
        <v>20</v>
      </c>
      <c r="J43" s="30" t="s">
        <v>20</v>
      </c>
      <c r="K43" s="30" t="s">
        <v>20</v>
      </c>
      <c r="L43" s="30" t="s">
        <v>20</v>
      </c>
      <c r="M43" s="30" t="s">
        <v>20</v>
      </c>
      <c r="N43" s="30" t="s">
        <v>20</v>
      </c>
      <c r="O43" s="30" t="s">
        <v>20</v>
      </c>
      <c r="P43" s="30" t="s">
        <v>20</v>
      </c>
      <c r="Q43" s="30" t="s">
        <v>20</v>
      </c>
      <c r="R43" s="30" t="s">
        <v>20</v>
      </c>
      <c r="S43" s="30" t="s">
        <v>20</v>
      </c>
      <c r="T43" s="30" t="s">
        <v>20</v>
      </c>
      <c r="U43" s="30" t="s">
        <v>20</v>
      </c>
    </row>
    <row r="44" spans="1:21" ht="12" customHeight="1">
      <c r="A44" s="62" t="s">
        <v>40</v>
      </c>
      <c r="B44" s="47" t="s">
        <v>268</v>
      </c>
      <c r="C44" s="16">
        <v>180</v>
      </c>
      <c r="D44" s="19">
        <v>2.8</v>
      </c>
      <c r="E44" s="16">
        <f>1.6*C44</f>
        <v>288</v>
      </c>
      <c r="F44" s="93" t="s">
        <v>285</v>
      </c>
      <c r="G44" s="52">
        <v>1.4</v>
      </c>
      <c r="H44" s="57">
        <v>0.985</v>
      </c>
      <c r="I44" s="16">
        <v>131</v>
      </c>
      <c r="J44" s="16">
        <v>82</v>
      </c>
      <c r="K44" s="35">
        <v>72</v>
      </c>
      <c r="L44" s="26">
        <f>AVERAGE(300,330,365,400,420,300,285,369,305,590,450)</f>
        <v>374</v>
      </c>
      <c r="M44" s="16" t="s">
        <v>781</v>
      </c>
      <c r="N44" s="26">
        <f>AVERAGE(475,610,570,450,419,450,450,433,491,406)</f>
        <v>475.4</v>
      </c>
      <c r="O44" s="16" t="s">
        <v>731</v>
      </c>
      <c r="P44" s="87" t="s">
        <v>20</v>
      </c>
      <c r="Q44" s="16" t="s">
        <v>20</v>
      </c>
      <c r="R44" s="43" t="s">
        <v>20</v>
      </c>
      <c r="S44" s="87">
        <v>400</v>
      </c>
      <c r="T44" s="16" t="s">
        <v>525</v>
      </c>
      <c r="U44" s="43" t="s">
        <v>38</v>
      </c>
    </row>
    <row r="45" spans="1:21" ht="12" customHeight="1">
      <c r="A45" s="62" t="s">
        <v>40</v>
      </c>
      <c r="B45" s="47" t="s">
        <v>564</v>
      </c>
      <c r="C45" s="16">
        <v>180</v>
      </c>
      <c r="D45" s="19">
        <v>2.8</v>
      </c>
      <c r="E45" s="16">
        <f t="shared" si="1"/>
        <v>288</v>
      </c>
      <c r="F45" s="93" t="s">
        <v>285</v>
      </c>
      <c r="G45" s="52">
        <v>1.4</v>
      </c>
      <c r="H45" s="57">
        <v>0.815</v>
      </c>
      <c r="I45" s="16">
        <v>131</v>
      </c>
      <c r="J45" s="16">
        <v>78</v>
      </c>
      <c r="K45" s="35">
        <v>72</v>
      </c>
      <c r="L45" s="26">
        <f>AVERAGE(0)</f>
        <v>0</v>
      </c>
      <c r="M45" s="16" t="s">
        <v>20</v>
      </c>
      <c r="N45" s="26">
        <f>AVERAGE(398,420,400)</f>
        <v>406</v>
      </c>
      <c r="O45" s="16" t="s">
        <v>601</v>
      </c>
      <c r="P45" s="87">
        <v>350</v>
      </c>
      <c r="Q45" s="16" t="s">
        <v>731</v>
      </c>
      <c r="R45" s="43" t="s">
        <v>35</v>
      </c>
      <c r="S45" s="87">
        <v>415</v>
      </c>
      <c r="T45" s="16" t="s">
        <v>661</v>
      </c>
      <c r="U45" s="43" t="s">
        <v>35</v>
      </c>
    </row>
    <row r="46" spans="1:21" ht="12" customHeight="1">
      <c r="A46" s="62" t="s">
        <v>40</v>
      </c>
      <c r="B46" s="47" t="s">
        <v>274</v>
      </c>
      <c r="C46" s="16">
        <v>200</v>
      </c>
      <c r="D46" s="19">
        <v>2</v>
      </c>
      <c r="E46" s="16">
        <f t="shared" si="1"/>
        <v>320</v>
      </c>
      <c r="F46" s="93" t="s">
        <v>285</v>
      </c>
      <c r="G46" s="52">
        <v>1.8</v>
      </c>
      <c r="H46" s="57">
        <v>2.6</v>
      </c>
      <c r="I46" s="16">
        <v>182</v>
      </c>
      <c r="J46" s="16">
        <v>123</v>
      </c>
      <c r="K46" s="35">
        <v>111</v>
      </c>
      <c r="L46" s="26">
        <f>AVERAGE(3299)</f>
        <v>3299</v>
      </c>
      <c r="M46" s="16" t="s">
        <v>376</v>
      </c>
      <c r="N46" s="26">
        <f>AVERAGE(4995,4979)</f>
        <v>4987</v>
      </c>
      <c r="O46" s="16" t="s">
        <v>541</v>
      </c>
      <c r="P46" s="87" t="s">
        <v>20</v>
      </c>
      <c r="Q46" s="16" t="s">
        <v>20</v>
      </c>
      <c r="R46" s="43" t="s">
        <v>20</v>
      </c>
      <c r="S46" s="87" t="s">
        <v>20</v>
      </c>
      <c r="T46" s="16" t="s">
        <v>20</v>
      </c>
      <c r="U46" s="43" t="s">
        <v>20</v>
      </c>
    </row>
    <row r="47" spans="1:21" ht="12" customHeight="1">
      <c r="A47" s="62" t="s">
        <v>40</v>
      </c>
      <c r="B47" s="47" t="s">
        <v>267</v>
      </c>
      <c r="C47" s="16">
        <v>200</v>
      </c>
      <c r="D47" s="19">
        <v>3.5</v>
      </c>
      <c r="E47" s="16">
        <f t="shared" si="1"/>
        <v>320</v>
      </c>
      <c r="F47" s="93" t="s">
        <v>285</v>
      </c>
      <c r="G47" s="52">
        <v>1.8</v>
      </c>
      <c r="H47" s="57">
        <v>0.78</v>
      </c>
      <c r="I47" s="16">
        <v>122</v>
      </c>
      <c r="J47" s="16">
        <v>77.5</v>
      </c>
      <c r="K47" s="35">
        <v>67</v>
      </c>
      <c r="L47" s="26">
        <f>AVERAGE(240,200,146,200,209,250)</f>
        <v>207.5</v>
      </c>
      <c r="M47" s="16" t="s">
        <v>781</v>
      </c>
      <c r="N47" s="26">
        <f>AVERAGE(250,250,290,269,225,300,254,321,300)</f>
        <v>273.22222222222223</v>
      </c>
      <c r="O47" s="16" t="s">
        <v>552</v>
      </c>
      <c r="P47" s="87">
        <v>400</v>
      </c>
      <c r="Q47" s="16" t="s">
        <v>781</v>
      </c>
      <c r="R47" s="43" t="s">
        <v>39</v>
      </c>
      <c r="S47" s="87">
        <v>325</v>
      </c>
      <c r="T47" s="16" t="s">
        <v>525</v>
      </c>
      <c r="U47" s="43" t="s">
        <v>33</v>
      </c>
    </row>
    <row r="48" spans="1:21" ht="12" customHeight="1">
      <c r="A48" s="64" t="s">
        <v>40</v>
      </c>
      <c r="B48" s="64" t="s">
        <v>270</v>
      </c>
      <c r="C48" s="28">
        <v>200</v>
      </c>
      <c r="D48" s="45">
        <v>4</v>
      </c>
      <c r="E48" s="28">
        <f t="shared" si="1"/>
        <v>320</v>
      </c>
      <c r="F48" s="94" t="s">
        <v>285</v>
      </c>
      <c r="G48" s="60" t="s">
        <v>20</v>
      </c>
      <c r="H48" s="61">
        <v>0.55</v>
      </c>
      <c r="I48" s="28" t="s">
        <v>20</v>
      </c>
      <c r="J48" s="28" t="s">
        <v>20</v>
      </c>
      <c r="K48" s="37">
        <v>55</v>
      </c>
      <c r="L48" s="27">
        <f>AVERAGE(149,141,170,191,191,179)</f>
        <v>170.16666666666666</v>
      </c>
      <c r="M48" s="28" t="s">
        <v>601</v>
      </c>
      <c r="N48" s="27">
        <f>AVERAGE(255,255,250,261)</f>
        <v>255.25</v>
      </c>
      <c r="O48" s="37" t="s">
        <v>731</v>
      </c>
      <c r="P48" s="27">
        <v>235</v>
      </c>
      <c r="Q48" s="28" t="s">
        <v>781</v>
      </c>
      <c r="R48" s="37" t="s">
        <v>35</v>
      </c>
      <c r="S48" s="27">
        <v>235</v>
      </c>
      <c r="T48" s="28" t="s">
        <v>523</v>
      </c>
      <c r="U48" s="37" t="s">
        <v>35</v>
      </c>
    </row>
    <row r="49" spans="1:21" ht="12" customHeight="1">
      <c r="A49" s="62" t="s">
        <v>40</v>
      </c>
      <c r="B49" s="47" t="s">
        <v>566</v>
      </c>
      <c r="C49" s="16">
        <v>300</v>
      </c>
      <c r="D49" s="19">
        <v>2.8</v>
      </c>
      <c r="E49" s="16">
        <f t="shared" si="1"/>
        <v>480</v>
      </c>
      <c r="F49" s="93" t="s">
        <v>285</v>
      </c>
      <c r="G49" s="52">
        <v>3.5</v>
      </c>
      <c r="H49" s="57">
        <v>2.73</v>
      </c>
      <c r="I49" s="16">
        <v>244</v>
      </c>
      <c r="J49" s="16">
        <v>120</v>
      </c>
      <c r="K49" s="35">
        <v>111</v>
      </c>
      <c r="L49" s="26">
        <f>AVERAGE(0)</f>
        <v>0</v>
      </c>
      <c r="M49" s="15" t="s">
        <v>20</v>
      </c>
      <c r="N49" s="26">
        <f>AVERAGE(0)</f>
        <v>0</v>
      </c>
      <c r="O49" s="15" t="s">
        <v>20</v>
      </c>
      <c r="P49" s="87" t="s">
        <v>20</v>
      </c>
      <c r="Q49" s="16" t="s">
        <v>20</v>
      </c>
      <c r="R49" s="43" t="s">
        <v>20</v>
      </c>
      <c r="S49" s="87" t="s">
        <v>20</v>
      </c>
      <c r="T49" s="16" t="s">
        <v>20</v>
      </c>
      <c r="U49" s="43" t="s">
        <v>20</v>
      </c>
    </row>
    <row r="50" spans="1:21" ht="12" customHeight="1">
      <c r="A50" s="62" t="s">
        <v>40</v>
      </c>
      <c r="B50" s="47" t="s">
        <v>272</v>
      </c>
      <c r="C50" s="16">
        <v>300</v>
      </c>
      <c r="D50" s="19">
        <v>4</v>
      </c>
      <c r="E50" s="16">
        <f t="shared" si="1"/>
        <v>480</v>
      </c>
      <c r="F50" s="93" t="s">
        <v>285</v>
      </c>
      <c r="G50" s="52">
        <v>3.5</v>
      </c>
      <c r="H50" s="57">
        <v>1.2</v>
      </c>
      <c r="I50" s="16">
        <v>205</v>
      </c>
      <c r="J50" s="16">
        <v>88</v>
      </c>
      <c r="K50" s="35">
        <v>82</v>
      </c>
      <c r="L50" s="26">
        <f>AVERAGE(440,459,355,400,425,450,411)</f>
        <v>420</v>
      </c>
      <c r="M50" s="15" t="s">
        <v>781</v>
      </c>
      <c r="N50" s="26">
        <f>AVERAGE(600,669,830,495,465,999,879,356)</f>
        <v>661.625</v>
      </c>
      <c r="O50" s="15" t="s">
        <v>462</v>
      </c>
      <c r="P50" s="87">
        <v>400</v>
      </c>
      <c r="Q50" s="16" t="s">
        <v>781</v>
      </c>
      <c r="R50" s="43" t="s">
        <v>35</v>
      </c>
      <c r="S50" s="87">
        <v>500</v>
      </c>
      <c r="T50" s="16" t="s">
        <v>525</v>
      </c>
      <c r="U50" s="43" t="s">
        <v>38</v>
      </c>
    </row>
    <row r="51" spans="1:21" ht="12" customHeight="1">
      <c r="A51" s="62" t="s">
        <v>40</v>
      </c>
      <c r="B51" s="47" t="s">
        <v>567</v>
      </c>
      <c r="C51" s="16">
        <v>500</v>
      </c>
      <c r="D51" s="19">
        <v>5.6</v>
      </c>
      <c r="E51" s="16">
        <f>1.6*C51</f>
        <v>800</v>
      </c>
      <c r="F51" s="93" t="s">
        <v>285</v>
      </c>
      <c r="G51" s="52">
        <v>4.9</v>
      </c>
      <c r="H51" s="57">
        <v>1.865</v>
      </c>
      <c r="I51" s="16">
        <v>290</v>
      </c>
      <c r="J51" s="16">
        <v>112</v>
      </c>
      <c r="K51" s="35" t="s">
        <v>569</v>
      </c>
      <c r="L51" s="26">
        <f>AVERAGE(0)</f>
        <v>0</v>
      </c>
      <c r="M51" s="15" t="s">
        <v>20</v>
      </c>
      <c r="N51" s="26">
        <f>AVERAGE(0)</f>
        <v>0</v>
      </c>
      <c r="O51" s="15" t="s">
        <v>20</v>
      </c>
      <c r="P51" s="87" t="s">
        <v>20</v>
      </c>
      <c r="Q51" s="16" t="s">
        <v>20</v>
      </c>
      <c r="R51" s="43" t="s">
        <v>20</v>
      </c>
      <c r="S51" s="87" t="s">
        <v>20</v>
      </c>
      <c r="T51" s="16" t="s">
        <v>20</v>
      </c>
      <c r="U51" s="43" t="s">
        <v>20</v>
      </c>
    </row>
    <row r="52" spans="1:21" ht="12" customHeight="1">
      <c r="A52" s="64" t="s">
        <v>40</v>
      </c>
      <c r="B52" s="64" t="s">
        <v>568</v>
      </c>
      <c r="C52" s="28">
        <v>800</v>
      </c>
      <c r="D52" s="45">
        <v>8</v>
      </c>
      <c r="E52" s="28">
        <f t="shared" si="1"/>
        <v>1280</v>
      </c>
      <c r="F52" s="94" t="s">
        <v>285</v>
      </c>
      <c r="G52" s="60">
        <v>4</v>
      </c>
      <c r="H52" s="61">
        <v>3.25</v>
      </c>
      <c r="I52" s="28">
        <v>505</v>
      </c>
      <c r="J52" s="28">
        <v>128.5</v>
      </c>
      <c r="K52" s="37" t="s">
        <v>569</v>
      </c>
      <c r="L52" s="27">
        <f>AVERAGE(0)</f>
        <v>0</v>
      </c>
      <c r="M52" s="28" t="s">
        <v>20</v>
      </c>
      <c r="N52" s="27">
        <f>AVERAGE(0)</f>
        <v>0</v>
      </c>
      <c r="O52" s="37" t="s">
        <v>20</v>
      </c>
      <c r="P52" s="27" t="s">
        <v>20</v>
      </c>
      <c r="Q52" s="28" t="s">
        <v>20</v>
      </c>
      <c r="R52" s="37" t="s">
        <v>20</v>
      </c>
      <c r="S52" s="27" t="s">
        <v>20</v>
      </c>
      <c r="T52" s="28" t="s">
        <v>20</v>
      </c>
      <c r="U52" s="37" t="s">
        <v>20</v>
      </c>
    </row>
    <row r="53" spans="1:21" ht="12" customHeight="1">
      <c r="A53" s="62" t="s">
        <v>40</v>
      </c>
      <c r="B53" s="62" t="s">
        <v>264</v>
      </c>
      <c r="C53" s="16" t="s">
        <v>107</v>
      </c>
      <c r="D53" s="19" t="s">
        <v>131</v>
      </c>
      <c r="E53" s="16" t="s">
        <v>160</v>
      </c>
      <c r="F53" s="93" t="s">
        <v>285</v>
      </c>
      <c r="G53" s="63">
        <v>0.5</v>
      </c>
      <c r="H53" s="57">
        <v>0.32</v>
      </c>
      <c r="I53" s="16">
        <v>68</v>
      </c>
      <c r="J53" s="16">
        <v>70</v>
      </c>
      <c r="K53" s="35">
        <v>67</v>
      </c>
      <c r="L53" s="26">
        <f>AVERAGE(133,182,214,240,181,252,203,223)</f>
        <v>203.5</v>
      </c>
      <c r="M53" s="16" t="s">
        <v>661</v>
      </c>
      <c r="N53" s="26">
        <f>AVERAGE(399,379,290,236,326,316,252,251,280,383)</f>
        <v>311.2</v>
      </c>
      <c r="O53" s="16" t="s">
        <v>667</v>
      </c>
      <c r="P53" s="99">
        <v>300</v>
      </c>
      <c r="Q53" s="100" t="s">
        <v>767</v>
      </c>
      <c r="R53" s="34" t="s">
        <v>38</v>
      </c>
      <c r="S53" s="99"/>
      <c r="T53" s="100"/>
      <c r="U53" s="34"/>
    </row>
    <row r="54" spans="1:21" ht="12" customHeight="1">
      <c r="A54" s="62" t="s">
        <v>40</v>
      </c>
      <c r="B54" s="62" t="s">
        <v>254</v>
      </c>
      <c r="C54" s="16" t="s">
        <v>255</v>
      </c>
      <c r="D54" s="19" t="s">
        <v>256</v>
      </c>
      <c r="E54" s="16" t="s">
        <v>257</v>
      </c>
      <c r="F54" s="93" t="s">
        <v>285</v>
      </c>
      <c r="G54" s="63">
        <v>0.61</v>
      </c>
      <c r="H54" s="57">
        <v>0.74</v>
      </c>
      <c r="I54" s="16">
        <v>99</v>
      </c>
      <c r="J54" s="16">
        <v>86</v>
      </c>
      <c r="K54" s="35">
        <v>82</v>
      </c>
      <c r="L54" s="26">
        <f>AVERAGE(345,430,350,330,368,400,405,338,382)</f>
        <v>372</v>
      </c>
      <c r="M54" s="16" t="s">
        <v>781</v>
      </c>
      <c r="N54" s="26">
        <f>AVERAGE(475,495,469,449,500,500,465,450,500,375,492)</f>
        <v>470</v>
      </c>
      <c r="O54" s="16" t="s">
        <v>731</v>
      </c>
      <c r="P54" s="87">
        <v>395</v>
      </c>
      <c r="Q54" s="16" t="s">
        <v>731</v>
      </c>
      <c r="R54" s="43" t="s">
        <v>37</v>
      </c>
      <c r="S54" s="87">
        <v>525</v>
      </c>
      <c r="T54" s="16" t="s">
        <v>781</v>
      </c>
      <c r="U54" s="43" t="s">
        <v>35</v>
      </c>
    </row>
    <row r="55" spans="1:21" ht="12" customHeight="1">
      <c r="A55" s="62" t="s">
        <v>40</v>
      </c>
      <c r="B55" s="62" t="s">
        <v>286</v>
      </c>
      <c r="C55" s="16" t="s">
        <v>189</v>
      </c>
      <c r="D55" s="19">
        <v>3.4</v>
      </c>
      <c r="E55" s="16" t="s">
        <v>263</v>
      </c>
      <c r="F55" s="93" t="s">
        <v>285</v>
      </c>
      <c r="G55" s="63">
        <v>0.25</v>
      </c>
      <c r="H55" s="57">
        <v>0.475</v>
      </c>
      <c r="I55" s="16">
        <v>80.5</v>
      </c>
      <c r="J55" s="16">
        <v>70</v>
      </c>
      <c r="K55" s="35">
        <v>67</v>
      </c>
      <c r="L55" s="16">
        <f>AVERAGE(345,375,250,331,299,332,260,355)</f>
        <v>318.375</v>
      </c>
      <c r="M55" s="16" t="s">
        <v>781</v>
      </c>
      <c r="N55" s="26">
        <f>AVERAGE(469,375,385,339,339,450,449,409)</f>
        <v>401.875</v>
      </c>
      <c r="O55" s="16" t="s">
        <v>781</v>
      </c>
      <c r="P55" s="87">
        <v>500</v>
      </c>
      <c r="Q55" s="16" t="s">
        <v>731</v>
      </c>
      <c r="R55" s="43" t="s">
        <v>701</v>
      </c>
      <c r="S55" s="87" t="s">
        <v>20</v>
      </c>
      <c r="T55" s="16" t="s">
        <v>20</v>
      </c>
      <c r="U55" s="43" t="s">
        <v>20</v>
      </c>
    </row>
    <row r="56" spans="1:21" ht="12" customHeight="1">
      <c r="A56" s="62" t="s">
        <v>40</v>
      </c>
      <c r="B56" s="62" t="s">
        <v>333</v>
      </c>
      <c r="C56" s="16" t="s">
        <v>260</v>
      </c>
      <c r="D56" s="19" t="s">
        <v>256</v>
      </c>
      <c r="E56" s="16" t="s">
        <v>261</v>
      </c>
      <c r="F56" s="93" t="s">
        <v>285</v>
      </c>
      <c r="G56" s="63">
        <v>0.26</v>
      </c>
      <c r="H56" s="57">
        <v>0.735</v>
      </c>
      <c r="I56" s="16">
        <v>107</v>
      </c>
      <c r="J56" s="16">
        <v>85</v>
      </c>
      <c r="K56" s="35">
        <v>82</v>
      </c>
      <c r="L56" s="16">
        <f>AVERAGE(455,800)</f>
        <v>627.5</v>
      </c>
      <c r="M56" s="16" t="s">
        <v>667</v>
      </c>
      <c r="N56" s="26">
        <f>AVERAGE(984,750,910,780,930,700,900)</f>
        <v>850.5714285714286</v>
      </c>
      <c r="O56" s="16" t="s">
        <v>781</v>
      </c>
      <c r="P56" s="87">
        <v>1300</v>
      </c>
      <c r="Q56" s="16" t="s">
        <v>781</v>
      </c>
      <c r="R56" s="43" t="s">
        <v>38</v>
      </c>
      <c r="S56" s="87" t="s">
        <v>20</v>
      </c>
      <c r="T56" s="16" t="s">
        <v>20</v>
      </c>
      <c r="U56" s="43" t="s">
        <v>20</v>
      </c>
    </row>
    <row r="57" spans="1:21" ht="12" customHeight="1">
      <c r="A57" s="62" t="s">
        <v>40</v>
      </c>
      <c r="B57" s="62" t="s">
        <v>364</v>
      </c>
      <c r="C57" s="16" t="s">
        <v>365</v>
      </c>
      <c r="D57" s="19">
        <v>3.5</v>
      </c>
      <c r="E57" s="16" t="s">
        <v>366</v>
      </c>
      <c r="F57" s="93" t="s">
        <v>285</v>
      </c>
      <c r="G57" s="63">
        <v>1.2</v>
      </c>
      <c r="H57" s="57">
        <v>0.66</v>
      </c>
      <c r="I57" s="16">
        <v>87</v>
      </c>
      <c r="J57" s="16">
        <v>67</v>
      </c>
      <c r="K57" s="35">
        <v>55</v>
      </c>
      <c r="L57" s="16">
        <f>AVERAGE(200,200,213)</f>
        <v>204.33333333333334</v>
      </c>
      <c r="M57" s="16" t="s">
        <v>731</v>
      </c>
      <c r="N57" s="26">
        <f>AVERAGE(300)</f>
        <v>300</v>
      </c>
      <c r="O57" s="16" t="s">
        <v>376</v>
      </c>
      <c r="P57" s="87">
        <v>198</v>
      </c>
      <c r="Q57" s="16" t="s">
        <v>601</v>
      </c>
      <c r="R57" s="43" t="s">
        <v>38</v>
      </c>
      <c r="S57" s="87">
        <v>300</v>
      </c>
      <c r="T57" s="16" t="s">
        <v>525</v>
      </c>
      <c r="U57" s="43" t="s">
        <v>38</v>
      </c>
    </row>
    <row r="58" spans="1:21" ht="12" customHeight="1">
      <c r="A58" s="62" t="s">
        <v>40</v>
      </c>
      <c r="B58" s="62" t="s">
        <v>265</v>
      </c>
      <c r="C58" s="16" t="s">
        <v>181</v>
      </c>
      <c r="D58" s="19">
        <v>3.5</v>
      </c>
      <c r="E58" s="40" t="s">
        <v>266</v>
      </c>
      <c r="F58" s="93" t="s">
        <v>285</v>
      </c>
      <c r="G58" s="104">
        <v>1.8</v>
      </c>
      <c r="H58" s="105">
        <v>1.145</v>
      </c>
      <c r="I58" s="102">
        <v>186</v>
      </c>
      <c r="J58" s="102">
        <v>77</v>
      </c>
      <c r="K58" s="106">
        <v>67</v>
      </c>
      <c r="L58" s="16">
        <f>AVERAGE(929,910,900,900,660,900,869,1000,919)</f>
        <v>887.4444444444445</v>
      </c>
      <c r="M58" s="16" t="s">
        <v>731</v>
      </c>
      <c r="N58" s="26">
        <f>AVERAGE(1002,1050,900,1126,1045,1150,1100,1325,1250,1130)</f>
        <v>1107.8</v>
      </c>
      <c r="O58" s="16" t="s">
        <v>731</v>
      </c>
      <c r="P58" s="87">
        <v>920</v>
      </c>
      <c r="Q58" s="16" t="s">
        <v>601</v>
      </c>
      <c r="R58" s="43" t="s">
        <v>35</v>
      </c>
      <c r="S58" s="87">
        <v>1075</v>
      </c>
      <c r="T58" s="16" t="s">
        <v>525</v>
      </c>
      <c r="U58" s="43" t="s">
        <v>33</v>
      </c>
    </row>
    <row r="59" spans="1:21" ht="12" customHeight="1">
      <c r="A59" s="62" t="s">
        <v>40</v>
      </c>
      <c r="B59" s="62" t="s">
        <v>262</v>
      </c>
      <c r="C59" s="16" t="s">
        <v>119</v>
      </c>
      <c r="D59" s="19">
        <v>4</v>
      </c>
      <c r="E59" s="16" t="s">
        <v>120</v>
      </c>
      <c r="F59" s="93" t="s">
        <v>285</v>
      </c>
      <c r="G59" s="63">
        <v>1</v>
      </c>
      <c r="H59" s="57">
        <v>0.68</v>
      </c>
      <c r="I59" s="16">
        <v>160.5</v>
      </c>
      <c r="J59" s="16">
        <v>67</v>
      </c>
      <c r="K59" s="35">
        <v>55</v>
      </c>
      <c r="L59" s="16">
        <f>AVERAGE(199,225,256,260,221,223,280,234,200,203,277)</f>
        <v>234.36363636363637</v>
      </c>
      <c r="M59" s="16" t="s">
        <v>781</v>
      </c>
      <c r="N59" s="26">
        <f>AVERAGE(293,319,225,292,285,305,308,306,295,233)</f>
        <v>286.1</v>
      </c>
      <c r="O59" s="16" t="s">
        <v>731</v>
      </c>
      <c r="P59" s="87">
        <v>400</v>
      </c>
      <c r="Q59" s="16" t="s">
        <v>781</v>
      </c>
      <c r="R59" s="43" t="s">
        <v>38</v>
      </c>
      <c r="S59" s="87">
        <v>335</v>
      </c>
      <c r="T59" s="16" t="s">
        <v>731</v>
      </c>
      <c r="U59" s="43" t="s">
        <v>37</v>
      </c>
    </row>
    <row r="60" spans="1:21" ht="12" customHeight="1">
      <c r="A60" s="64" t="s">
        <v>40</v>
      </c>
      <c r="B60" s="64" t="s">
        <v>334</v>
      </c>
      <c r="C60" s="28" t="s">
        <v>134</v>
      </c>
      <c r="D60" s="45" t="s">
        <v>138</v>
      </c>
      <c r="E60" s="28" t="s">
        <v>135</v>
      </c>
      <c r="F60" s="94" t="s">
        <v>285</v>
      </c>
      <c r="G60" s="60">
        <v>1.5</v>
      </c>
      <c r="H60" s="61">
        <v>0.925</v>
      </c>
      <c r="I60" s="28">
        <v>143</v>
      </c>
      <c r="J60" s="28">
        <v>70</v>
      </c>
      <c r="K60" s="37">
        <v>67</v>
      </c>
      <c r="L60" s="28">
        <f>AVERAGE(656,688,571,708,799,666,675,812,701)</f>
        <v>697.3333333333334</v>
      </c>
      <c r="M60" s="28" t="s">
        <v>731</v>
      </c>
      <c r="N60" s="27">
        <f>AVERAGE(1000,899,850,728,777)</f>
        <v>850.8</v>
      </c>
      <c r="O60" s="28" t="s">
        <v>552</v>
      </c>
      <c r="P60" s="27">
        <v>725</v>
      </c>
      <c r="Q60" s="28" t="s">
        <v>781</v>
      </c>
      <c r="R60" s="37" t="s">
        <v>35</v>
      </c>
      <c r="S60" s="27">
        <v>900</v>
      </c>
      <c r="T60" s="28" t="s">
        <v>767</v>
      </c>
      <c r="U60" s="37" t="s">
        <v>38</v>
      </c>
    </row>
    <row r="61" spans="1:21" s="41" customFormat="1" ht="12" customHeight="1">
      <c r="A61" s="143" t="s">
        <v>630</v>
      </c>
      <c r="B61" s="74"/>
      <c r="C61" s="30"/>
      <c r="D61" s="75"/>
      <c r="E61" s="30"/>
      <c r="F61" s="78"/>
      <c r="G61" s="76" t="s">
        <v>20</v>
      </c>
      <c r="H61" s="77" t="s">
        <v>20</v>
      </c>
      <c r="I61" s="30" t="s">
        <v>20</v>
      </c>
      <c r="J61" s="30" t="s">
        <v>20</v>
      </c>
      <c r="K61" s="30" t="s">
        <v>20</v>
      </c>
      <c r="L61" s="30" t="s">
        <v>20</v>
      </c>
      <c r="M61" s="30" t="s">
        <v>20</v>
      </c>
      <c r="N61" s="30" t="s">
        <v>20</v>
      </c>
      <c r="O61" s="30" t="s">
        <v>20</v>
      </c>
      <c r="P61" s="30" t="s">
        <v>20</v>
      </c>
      <c r="Q61" s="30" t="s">
        <v>20</v>
      </c>
      <c r="R61" s="30" t="s">
        <v>20</v>
      </c>
      <c r="S61" s="30" t="s">
        <v>20</v>
      </c>
      <c r="T61" s="30" t="s">
        <v>20</v>
      </c>
      <c r="U61" s="30" t="s">
        <v>20</v>
      </c>
    </row>
    <row r="62" spans="1:21" ht="12" customHeight="1">
      <c r="A62" s="62" t="s">
        <v>40</v>
      </c>
      <c r="B62" s="62" t="s">
        <v>558</v>
      </c>
      <c r="C62" s="16">
        <v>50</v>
      </c>
      <c r="D62" s="19">
        <v>1.4</v>
      </c>
      <c r="E62" s="16">
        <f>1.6*C62</f>
        <v>80</v>
      </c>
      <c r="F62" s="93" t="s">
        <v>554</v>
      </c>
      <c r="G62" s="63">
        <v>0.45</v>
      </c>
      <c r="H62" s="57">
        <v>0.31</v>
      </c>
      <c r="I62" s="16">
        <v>55</v>
      </c>
      <c r="J62" s="16">
        <v>80</v>
      </c>
      <c r="K62" s="90">
        <v>67</v>
      </c>
      <c r="L62" s="16">
        <f>AVERAGE(0)</f>
        <v>0</v>
      </c>
      <c r="M62" s="16" t="s">
        <v>20</v>
      </c>
      <c r="N62" s="26">
        <f>AVERAGE(0)</f>
        <v>0</v>
      </c>
      <c r="O62" s="142" t="s">
        <v>20</v>
      </c>
      <c r="P62" s="19">
        <v>430</v>
      </c>
      <c r="Q62" s="16" t="s">
        <v>601</v>
      </c>
      <c r="R62" s="43" t="s">
        <v>35</v>
      </c>
      <c r="S62" s="87" t="s">
        <v>20</v>
      </c>
      <c r="T62" s="16" t="s">
        <v>20</v>
      </c>
      <c r="U62" s="43" t="s">
        <v>20</v>
      </c>
    </row>
    <row r="63" spans="1:21" ht="12" customHeight="1">
      <c r="A63" s="62" t="s">
        <v>40</v>
      </c>
      <c r="B63" s="62" t="s">
        <v>559</v>
      </c>
      <c r="C63" s="16">
        <v>85</v>
      </c>
      <c r="D63" s="19">
        <v>1.4</v>
      </c>
      <c r="E63" s="16">
        <f>1.6*C63</f>
        <v>136</v>
      </c>
      <c r="F63" s="93" t="s">
        <v>554</v>
      </c>
      <c r="G63" s="63">
        <v>0.83</v>
      </c>
      <c r="H63" s="57">
        <v>0.8</v>
      </c>
      <c r="I63" s="16">
        <v>80</v>
      </c>
      <c r="J63" s="16">
        <v>90</v>
      </c>
      <c r="K63" s="16">
        <v>82</v>
      </c>
      <c r="L63" s="26">
        <f>AVERAGE(0)</f>
        <v>0</v>
      </c>
      <c r="M63" s="35" t="s">
        <v>20</v>
      </c>
      <c r="N63" s="26">
        <f>AVERAGE(1500)</f>
        <v>1500</v>
      </c>
      <c r="O63" s="35" t="s">
        <v>781</v>
      </c>
      <c r="P63" s="19">
        <v>1170</v>
      </c>
      <c r="Q63" s="16" t="s">
        <v>601</v>
      </c>
      <c r="R63" s="43" t="s">
        <v>35</v>
      </c>
      <c r="S63" s="87">
        <v>1270</v>
      </c>
      <c r="T63" s="16" t="s">
        <v>661</v>
      </c>
      <c r="U63" s="43" t="s">
        <v>35</v>
      </c>
    </row>
    <row r="64" spans="1:21" ht="12" customHeight="1">
      <c r="A64" s="62" t="s">
        <v>40</v>
      </c>
      <c r="B64" s="62" t="s">
        <v>560</v>
      </c>
      <c r="C64" s="16">
        <v>100</v>
      </c>
      <c r="D64" s="19">
        <v>2.8</v>
      </c>
      <c r="E64" s="16">
        <f>1.6*C64</f>
        <v>160</v>
      </c>
      <c r="F64" s="93" t="s">
        <v>554</v>
      </c>
      <c r="G64" s="63">
        <v>0.32</v>
      </c>
      <c r="H64" s="57">
        <v>0.96</v>
      </c>
      <c r="I64" s="16">
        <v>130</v>
      </c>
      <c r="J64" s="16">
        <v>86</v>
      </c>
      <c r="K64" s="16">
        <v>72</v>
      </c>
      <c r="L64" s="26">
        <f>AVERAGE(0)</f>
        <v>0</v>
      </c>
      <c r="M64" s="35" t="s">
        <v>20</v>
      </c>
      <c r="N64" s="26">
        <f>AVERAGE(0)</f>
        <v>0</v>
      </c>
      <c r="O64" s="35" t="s">
        <v>20</v>
      </c>
      <c r="P64" s="19">
        <v>645</v>
      </c>
      <c r="Q64" s="16" t="s">
        <v>601</v>
      </c>
      <c r="R64" s="43" t="s">
        <v>35</v>
      </c>
      <c r="S64" s="87" t="s">
        <v>20</v>
      </c>
      <c r="T64" s="16" t="s">
        <v>20</v>
      </c>
      <c r="U64" s="43" t="s">
        <v>20</v>
      </c>
    </row>
    <row r="65" spans="1:21" ht="12" customHeight="1">
      <c r="A65" s="64" t="s">
        <v>40</v>
      </c>
      <c r="B65" s="64" t="s">
        <v>562</v>
      </c>
      <c r="C65" s="28">
        <v>400</v>
      </c>
      <c r="D65" s="45">
        <v>4</v>
      </c>
      <c r="E65" s="28">
        <f>1.6*C65</f>
        <v>640</v>
      </c>
      <c r="F65" s="94" t="s">
        <v>554</v>
      </c>
      <c r="G65" s="60">
        <v>2.9</v>
      </c>
      <c r="H65" s="61">
        <v>3.58</v>
      </c>
      <c r="I65" s="28">
        <v>290</v>
      </c>
      <c r="J65" s="28">
        <v>120</v>
      </c>
      <c r="K65" s="28" t="s">
        <v>563</v>
      </c>
      <c r="L65" s="27">
        <f>AVERAGE(2899,2800)</f>
        <v>2849.5</v>
      </c>
      <c r="M65" s="37" t="s">
        <v>661</v>
      </c>
      <c r="N65" s="27">
        <f>AVERAGE(4639,3200)</f>
        <v>3919.5</v>
      </c>
      <c r="O65" s="37" t="s">
        <v>601</v>
      </c>
      <c r="P65" s="28" t="s">
        <v>20</v>
      </c>
      <c r="Q65" s="28" t="s">
        <v>20</v>
      </c>
      <c r="R65" s="37" t="s">
        <v>20</v>
      </c>
      <c r="S65" s="27" t="s">
        <v>20</v>
      </c>
      <c r="T65" s="28" t="s">
        <v>20</v>
      </c>
      <c r="U65" s="37" t="s">
        <v>20</v>
      </c>
    </row>
    <row r="66" spans="1:21" ht="12" customHeight="1">
      <c r="A66" s="62" t="s">
        <v>40</v>
      </c>
      <c r="B66" s="62" t="s">
        <v>561</v>
      </c>
      <c r="C66" s="16" t="s">
        <v>93</v>
      </c>
      <c r="D66" s="19">
        <v>2.8</v>
      </c>
      <c r="E66" s="16" t="s">
        <v>94</v>
      </c>
      <c r="F66" s="93" t="s">
        <v>554</v>
      </c>
      <c r="G66" s="63">
        <v>0.5</v>
      </c>
      <c r="H66" s="57">
        <v>0.9</v>
      </c>
      <c r="I66" s="16">
        <v>96</v>
      </c>
      <c r="J66" s="16">
        <v>102</v>
      </c>
      <c r="K66" s="16">
        <v>95</v>
      </c>
      <c r="L66" s="44">
        <f>AVERAGE(0)</f>
        <v>0</v>
      </c>
      <c r="M66" s="90" t="s">
        <v>20</v>
      </c>
      <c r="N66" s="26">
        <f>AVERAGE(1495,1334)</f>
        <v>1414.5</v>
      </c>
      <c r="O66" s="35" t="s">
        <v>731</v>
      </c>
      <c r="P66" s="19">
        <v>1480</v>
      </c>
      <c r="Q66" s="16" t="s">
        <v>661</v>
      </c>
      <c r="R66" s="43" t="s">
        <v>35</v>
      </c>
      <c r="S66" s="87" t="s">
        <v>20</v>
      </c>
      <c r="T66" s="16" t="s">
        <v>20</v>
      </c>
      <c r="U66" s="43" t="s">
        <v>20</v>
      </c>
    </row>
    <row r="67" spans="1:21" ht="12" customHeight="1">
      <c r="A67" s="62" t="s">
        <v>40</v>
      </c>
      <c r="B67" s="62" t="s">
        <v>743</v>
      </c>
      <c r="C67" s="16" t="s">
        <v>744</v>
      </c>
      <c r="D67" s="19" t="s">
        <v>20</v>
      </c>
      <c r="E67" s="16">
        <v>-136</v>
      </c>
      <c r="F67" s="93" t="s">
        <v>554</v>
      </c>
      <c r="G67" s="63" t="s">
        <v>20</v>
      </c>
      <c r="H67" s="57" t="s">
        <v>20</v>
      </c>
      <c r="I67" s="16" t="s">
        <v>20</v>
      </c>
      <c r="J67" s="16" t="s">
        <v>20</v>
      </c>
      <c r="K67" s="16" t="s">
        <v>20</v>
      </c>
      <c r="L67" s="27" t="s">
        <v>20</v>
      </c>
      <c r="M67" s="37" t="s">
        <v>20</v>
      </c>
      <c r="N67" s="16" t="s">
        <v>20</v>
      </c>
      <c r="O67" s="16" t="s">
        <v>20</v>
      </c>
      <c r="P67" s="26" t="s">
        <v>20</v>
      </c>
      <c r="Q67" s="16" t="s">
        <v>20</v>
      </c>
      <c r="R67" s="35" t="s">
        <v>20</v>
      </c>
      <c r="S67" s="26" t="s">
        <v>20</v>
      </c>
      <c r="T67" s="16" t="s">
        <v>20</v>
      </c>
      <c r="U67" s="35" t="s">
        <v>20</v>
      </c>
    </row>
    <row r="68" spans="1:21" s="41" customFormat="1" ht="12" customHeight="1">
      <c r="A68" s="143" t="s">
        <v>648</v>
      </c>
      <c r="B68" s="74"/>
      <c r="C68" s="30"/>
      <c r="D68" s="75"/>
      <c r="E68" s="30"/>
      <c r="F68" s="78"/>
      <c r="G68" s="76" t="s">
        <v>20</v>
      </c>
      <c r="H68" s="77" t="s">
        <v>20</v>
      </c>
      <c r="I68" s="30" t="s">
        <v>20</v>
      </c>
      <c r="J68" s="30" t="s">
        <v>20</v>
      </c>
      <c r="K68" s="30" t="s">
        <v>20</v>
      </c>
      <c r="L68" s="30" t="s">
        <v>20</v>
      </c>
      <c r="M68" s="30" t="s">
        <v>20</v>
      </c>
      <c r="N68" s="30" t="s">
        <v>20</v>
      </c>
      <c r="O68" s="30" t="s">
        <v>20</v>
      </c>
      <c r="P68" s="30" t="s">
        <v>20</v>
      </c>
      <c r="Q68" s="30" t="s">
        <v>20</v>
      </c>
      <c r="R68" s="30" t="s">
        <v>20</v>
      </c>
      <c r="S68" s="30" t="s">
        <v>20</v>
      </c>
      <c r="T68" s="30" t="s">
        <v>20</v>
      </c>
      <c r="U68" s="30" t="s">
        <v>20</v>
      </c>
    </row>
    <row r="69" spans="1:21" ht="12" customHeight="1">
      <c r="A69" s="62" t="s">
        <v>445</v>
      </c>
      <c r="B69" s="62" t="s">
        <v>213</v>
      </c>
      <c r="C69" s="16">
        <v>20</v>
      </c>
      <c r="D69" s="19">
        <v>2.8</v>
      </c>
      <c r="E69" s="16">
        <f aca="true" t="shared" si="2" ref="E69:E75">1.6*C69</f>
        <v>32</v>
      </c>
      <c r="F69" s="93" t="s">
        <v>192</v>
      </c>
      <c r="G69" s="63">
        <v>0.19</v>
      </c>
      <c r="H69" s="57">
        <v>0.31</v>
      </c>
      <c r="I69" s="16">
        <v>47</v>
      </c>
      <c r="J69" s="16">
        <v>74</v>
      </c>
      <c r="K69" s="90">
        <v>67</v>
      </c>
      <c r="L69" s="16">
        <f>AVERAGE(342,368,291,329,305)</f>
        <v>327</v>
      </c>
      <c r="M69" s="16" t="s">
        <v>781</v>
      </c>
      <c r="N69" s="26">
        <f>AVERAGE(482,408,402,510,400,375,420,384,495)</f>
        <v>430.6666666666667</v>
      </c>
      <c r="O69" s="142" t="s">
        <v>781</v>
      </c>
      <c r="P69" s="19" t="s">
        <v>20</v>
      </c>
      <c r="Q69" s="16" t="s">
        <v>20</v>
      </c>
      <c r="R69" s="43" t="s">
        <v>20</v>
      </c>
      <c r="S69" s="87" t="s">
        <v>20</v>
      </c>
      <c r="T69" s="16" t="s">
        <v>20</v>
      </c>
      <c r="U69" s="43" t="s">
        <v>20</v>
      </c>
    </row>
    <row r="70" spans="1:21" ht="12" customHeight="1">
      <c r="A70" s="62" t="s">
        <v>445</v>
      </c>
      <c r="B70" s="62" t="s">
        <v>214</v>
      </c>
      <c r="C70" s="16">
        <v>20</v>
      </c>
      <c r="D70" s="19">
        <v>4</v>
      </c>
      <c r="E70" s="16">
        <f t="shared" si="2"/>
        <v>32</v>
      </c>
      <c r="F70" s="93" t="s">
        <v>192</v>
      </c>
      <c r="G70" s="63">
        <v>0.15</v>
      </c>
      <c r="H70" s="57">
        <v>0.337</v>
      </c>
      <c r="I70" s="16">
        <v>49</v>
      </c>
      <c r="J70" s="16">
        <v>83</v>
      </c>
      <c r="K70" s="35">
        <v>77</v>
      </c>
      <c r="L70" s="16">
        <f>AVERAGE(164,122,124,184)</f>
        <v>148.5</v>
      </c>
      <c r="M70" s="16" t="s">
        <v>496</v>
      </c>
      <c r="N70" s="26">
        <f>AVERAGE(320,232,299,265,265,262)</f>
        <v>273.8333333333333</v>
      </c>
      <c r="O70" s="16" t="s">
        <v>781</v>
      </c>
      <c r="P70" s="26" t="s">
        <v>20</v>
      </c>
      <c r="Q70" s="16" t="s">
        <v>20</v>
      </c>
      <c r="R70" s="35" t="s">
        <v>20</v>
      </c>
      <c r="S70" s="26" t="s">
        <v>20</v>
      </c>
      <c r="T70" s="16" t="s">
        <v>20</v>
      </c>
      <c r="U70" s="35" t="s">
        <v>20</v>
      </c>
    </row>
    <row r="71" spans="1:21" ht="12" customHeight="1">
      <c r="A71" s="62" t="s">
        <v>445</v>
      </c>
      <c r="B71" s="62" t="s">
        <v>215</v>
      </c>
      <c r="C71" s="16">
        <v>35</v>
      </c>
      <c r="D71" s="19">
        <v>2.4</v>
      </c>
      <c r="E71" s="16">
        <f t="shared" si="2"/>
        <v>56</v>
      </c>
      <c r="F71" s="93" t="s">
        <v>192</v>
      </c>
      <c r="G71" s="63">
        <v>0.2</v>
      </c>
      <c r="H71" s="57">
        <v>0.25</v>
      </c>
      <c r="I71" s="16">
        <v>52</v>
      </c>
      <c r="J71" s="16">
        <v>64</v>
      </c>
      <c r="K71" s="35">
        <v>49</v>
      </c>
      <c r="L71" s="16">
        <f>AVERAGE(171,149,196,179,169,139,164,172,201)</f>
        <v>171.11111111111111</v>
      </c>
      <c r="M71" s="16" t="s">
        <v>781</v>
      </c>
      <c r="N71" s="26">
        <f>AVERAGE(270,248,261,204,285,305,353,249,222)</f>
        <v>266.3333333333333</v>
      </c>
      <c r="O71" s="16" t="s">
        <v>781</v>
      </c>
      <c r="P71" s="26" t="s">
        <v>20</v>
      </c>
      <c r="Q71" s="16" t="s">
        <v>20</v>
      </c>
      <c r="R71" s="35" t="s">
        <v>20</v>
      </c>
      <c r="S71" s="26" t="s">
        <v>20</v>
      </c>
      <c r="T71" s="16" t="s">
        <v>20</v>
      </c>
      <c r="U71" s="35" t="s">
        <v>20</v>
      </c>
    </row>
    <row r="72" spans="1:21" ht="12" customHeight="1">
      <c r="A72" s="62" t="s">
        <v>445</v>
      </c>
      <c r="B72" s="62" t="s">
        <v>749</v>
      </c>
      <c r="C72" s="16">
        <v>80</v>
      </c>
      <c r="D72" s="19">
        <v>1.8</v>
      </c>
      <c r="E72" s="16">
        <f t="shared" si="2"/>
        <v>128</v>
      </c>
      <c r="F72" s="93" t="s">
        <v>192</v>
      </c>
      <c r="G72" s="63">
        <v>0.35</v>
      </c>
      <c r="H72" s="57"/>
      <c r="I72" s="16"/>
      <c r="J72" s="16"/>
      <c r="K72" s="35"/>
      <c r="L72" s="26">
        <f>AVERAGE(0)</f>
        <v>0</v>
      </c>
      <c r="M72" s="35" t="s">
        <v>20</v>
      </c>
      <c r="N72" s="26">
        <f>AVERAGE(485,586)</f>
        <v>535.5</v>
      </c>
      <c r="O72" s="35" t="s">
        <v>781</v>
      </c>
      <c r="P72" s="26" t="s">
        <v>20</v>
      </c>
      <c r="Q72" s="16" t="s">
        <v>20</v>
      </c>
      <c r="R72" s="35" t="s">
        <v>20</v>
      </c>
      <c r="S72" s="26" t="s">
        <v>20</v>
      </c>
      <c r="T72" s="16" t="s">
        <v>20</v>
      </c>
      <c r="U72" s="35" t="s">
        <v>20</v>
      </c>
    </row>
    <row r="73" spans="1:21" ht="12" customHeight="1">
      <c r="A73" s="62" t="s">
        <v>445</v>
      </c>
      <c r="B73" s="62" t="s">
        <v>216</v>
      </c>
      <c r="C73" s="16">
        <v>135</v>
      </c>
      <c r="D73" s="19">
        <v>3.5</v>
      </c>
      <c r="E73" s="16">
        <f t="shared" si="2"/>
        <v>216</v>
      </c>
      <c r="F73" s="93" t="s">
        <v>192</v>
      </c>
      <c r="G73" s="63">
        <v>1</v>
      </c>
      <c r="H73" s="57">
        <v>0.375</v>
      </c>
      <c r="I73" s="16">
        <v>82</v>
      </c>
      <c r="J73" s="16">
        <v>65</v>
      </c>
      <c r="K73" s="35">
        <v>49</v>
      </c>
      <c r="L73" s="16">
        <f>AVERAGE(108,104,100,108,110,125,103,109)</f>
        <v>108.375</v>
      </c>
      <c r="M73" s="16" t="s">
        <v>731</v>
      </c>
      <c r="N73" s="26">
        <f>AVERAGE(193,143,187,136,145,135,169)</f>
        <v>158.28571428571428</v>
      </c>
      <c r="O73" s="16" t="s">
        <v>781</v>
      </c>
      <c r="P73" s="26" t="s">
        <v>20</v>
      </c>
      <c r="Q73" s="16" t="s">
        <v>20</v>
      </c>
      <c r="R73" s="35" t="s">
        <v>20</v>
      </c>
      <c r="S73" s="26" t="s">
        <v>20</v>
      </c>
      <c r="T73" s="16" t="s">
        <v>20</v>
      </c>
      <c r="U73" s="35" t="s">
        <v>20</v>
      </c>
    </row>
    <row r="74" spans="1:21" ht="12" customHeight="1">
      <c r="A74" s="62" t="s">
        <v>445</v>
      </c>
      <c r="B74" s="62" t="s">
        <v>217</v>
      </c>
      <c r="C74" s="16">
        <v>180</v>
      </c>
      <c r="D74" s="19">
        <v>2.8</v>
      </c>
      <c r="E74" s="16">
        <f t="shared" si="2"/>
        <v>288</v>
      </c>
      <c r="F74" s="93" t="s">
        <v>192</v>
      </c>
      <c r="G74" s="63">
        <v>2.2</v>
      </c>
      <c r="H74" s="57">
        <v>1.1</v>
      </c>
      <c r="I74" s="16">
        <v>146</v>
      </c>
      <c r="J74" s="16">
        <v>100</v>
      </c>
      <c r="K74" s="35">
        <v>86</v>
      </c>
      <c r="L74" s="16">
        <f>AVERAGE(200,250,222,245,199,185,262)</f>
        <v>223.28571428571428</v>
      </c>
      <c r="M74" s="16" t="s">
        <v>781</v>
      </c>
      <c r="N74" s="26">
        <f>AVERAGE(356,300,310,288,277,295,305,329,334,350)</f>
        <v>314.4</v>
      </c>
      <c r="O74" s="16" t="s">
        <v>601</v>
      </c>
      <c r="P74" s="26">
        <v>245</v>
      </c>
      <c r="Q74" s="16" t="s">
        <v>541</v>
      </c>
      <c r="R74" s="35" t="s">
        <v>41</v>
      </c>
      <c r="S74" s="26" t="s">
        <v>20</v>
      </c>
      <c r="T74" s="16" t="s">
        <v>20</v>
      </c>
      <c r="U74" s="35" t="s">
        <v>20</v>
      </c>
    </row>
    <row r="75" spans="1:23" ht="12" customHeight="1">
      <c r="A75" s="64" t="s">
        <v>445</v>
      </c>
      <c r="B75" s="64" t="s">
        <v>218</v>
      </c>
      <c r="C75" s="28">
        <v>200</v>
      </c>
      <c r="D75" s="67">
        <v>2.8</v>
      </c>
      <c r="E75" s="37">
        <f t="shared" si="2"/>
        <v>320</v>
      </c>
      <c r="F75" s="86" t="s">
        <v>192</v>
      </c>
      <c r="G75" s="60">
        <v>2.2</v>
      </c>
      <c r="H75" s="61">
        <v>1.2</v>
      </c>
      <c r="I75" s="28">
        <v>146</v>
      </c>
      <c r="J75" s="28" t="s">
        <v>20</v>
      </c>
      <c r="K75" s="37">
        <v>77</v>
      </c>
      <c r="L75" s="28">
        <f>AVERAGE(250,275,280,277)</f>
        <v>270.5</v>
      </c>
      <c r="M75" s="37" t="s">
        <v>667</v>
      </c>
      <c r="N75" s="28">
        <f>AVERAGE(375,349,437,340,338,340,350,417,309,383,300)</f>
        <v>358</v>
      </c>
      <c r="O75" s="28" t="s">
        <v>781</v>
      </c>
      <c r="P75" s="27" t="s">
        <v>20</v>
      </c>
      <c r="Q75" s="28" t="s">
        <v>20</v>
      </c>
      <c r="R75" s="37" t="s">
        <v>20</v>
      </c>
      <c r="S75" s="27" t="s">
        <v>20</v>
      </c>
      <c r="T75" s="28" t="s">
        <v>20</v>
      </c>
      <c r="U75" s="37" t="s">
        <v>20</v>
      </c>
      <c r="V75" s="16"/>
      <c r="W75" s="16"/>
    </row>
    <row r="76" spans="1:21" s="41" customFormat="1" ht="12" customHeight="1">
      <c r="A76" s="62"/>
      <c r="B76" s="62"/>
      <c r="C76" s="16"/>
      <c r="D76" s="19"/>
      <c r="E76" s="16"/>
      <c r="F76" s="57"/>
      <c r="G76" s="48"/>
      <c r="H76" s="57"/>
      <c r="I76" s="16"/>
      <c r="J76" s="16"/>
      <c r="K76" s="16"/>
      <c r="L76" s="16" t="s">
        <v>20</v>
      </c>
      <c r="M76" s="16" t="s">
        <v>20</v>
      </c>
      <c r="N76" s="16" t="s">
        <v>20</v>
      </c>
      <c r="O76" s="16" t="s">
        <v>20</v>
      </c>
      <c r="P76" s="16" t="s">
        <v>20</v>
      </c>
      <c r="Q76" s="16" t="s">
        <v>20</v>
      </c>
      <c r="R76" s="16" t="s">
        <v>20</v>
      </c>
      <c r="S76" s="16" t="s">
        <v>20</v>
      </c>
      <c r="T76" s="16" t="s">
        <v>20</v>
      </c>
      <c r="U76" s="16" t="s">
        <v>20</v>
      </c>
    </row>
    <row r="77" spans="1:21" s="41" customFormat="1" ht="12" customHeight="1">
      <c r="A77" s="143" t="s">
        <v>631</v>
      </c>
      <c r="B77" s="74"/>
      <c r="C77" s="30"/>
      <c r="D77" s="75"/>
      <c r="E77" s="30"/>
      <c r="F77" s="78"/>
      <c r="G77" s="76" t="s">
        <v>20</v>
      </c>
      <c r="H77" s="77" t="s">
        <v>20</v>
      </c>
      <c r="I77" s="30" t="s">
        <v>20</v>
      </c>
      <c r="J77" s="30" t="s">
        <v>20</v>
      </c>
      <c r="K77" s="30" t="s">
        <v>20</v>
      </c>
      <c r="L77" s="30" t="s">
        <v>20</v>
      </c>
      <c r="M77" s="30" t="s">
        <v>20</v>
      </c>
      <c r="N77" s="30" t="s">
        <v>20</v>
      </c>
      <c r="O77" s="30" t="s">
        <v>20</v>
      </c>
      <c r="P77" s="30" t="s">
        <v>20</v>
      </c>
      <c r="Q77" s="30" t="s">
        <v>20</v>
      </c>
      <c r="R77" s="30" t="s">
        <v>20</v>
      </c>
      <c r="S77" s="30" t="s">
        <v>20</v>
      </c>
      <c r="T77" s="30" t="s">
        <v>20</v>
      </c>
      <c r="U77" s="30" t="s">
        <v>20</v>
      </c>
    </row>
    <row r="78" spans="1:23" s="41" customFormat="1" ht="12" customHeight="1">
      <c r="A78" s="41" t="s">
        <v>232</v>
      </c>
      <c r="B78" s="41" t="s">
        <v>544</v>
      </c>
      <c r="C78" s="16">
        <v>20</v>
      </c>
      <c r="D78" s="48">
        <v>3.5</v>
      </c>
      <c r="E78" s="16">
        <f aca="true" t="shared" si="3" ref="E78:E87">1.6*C78</f>
        <v>32</v>
      </c>
      <c r="F78" s="85" t="s">
        <v>463</v>
      </c>
      <c r="G78" s="63">
        <v>0.2</v>
      </c>
      <c r="H78" s="57">
        <v>0.2</v>
      </c>
      <c r="I78" s="16">
        <v>28.8</v>
      </c>
      <c r="J78" s="16">
        <v>63</v>
      </c>
      <c r="K78" s="43">
        <v>52</v>
      </c>
      <c r="L78" s="87">
        <f>AVERAGE(344)</f>
        <v>344</v>
      </c>
      <c r="M78" s="43" t="s">
        <v>781</v>
      </c>
      <c r="N78" s="26">
        <f>AVERAGE(472,407,495,445,418,325,478)</f>
        <v>434.2857142857143</v>
      </c>
      <c r="O78" s="19" t="s">
        <v>781</v>
      </c>
      <c r="P78" s="87" t="s">
        <v>20</v>
      </c>
      <c r="Q78" s="19" t="s">
        <v>20</v>
      </c>
      <c r="R78" s="43" t="s">
        <v>20</v>
      </c>
      <c r="S78" s="91">
        <v>426</v>
      </c>
      <c r="T78" s="19" t="s">
        <v>661</v>
      </c>
      <c r="U78" s="43" t="s">
        <v>649</v>
      </c>
      <c r="V78" s="16"/>
      <c r="W78" s="16"/>
    </row>
    <row r="79" spans="1:23" s="41" customFormat="1" ht="12" customHeight="1">
      <c r="A79" s="41" t="s">
        <v>232</v>
      </c>
      <c r="B79" s="41" t="s">
        <v>545</v>
      </c>
      <c r="C79" s="16">
        <v>35</v>
      </c>
      <c r="D79" s="19">
        <v>2.8</v>
      </c>
      <c r="E79" s="16">
        <f t="shared" si="3"/>
        <v>56</v>
      </c>
      <c r="F79" s="88" t="s">
        <v>192</v>
      </c>
      <c r="G79" s="63" t="s">
        <v>20</v>
      </c>
      <c r="H79" s="57" t="s">
        <v>20</v>
      </c>
      <c r="I79" s="16" t="s">
        <v>20</v>
      </c>
      <c r="J79" s="16" t="s">
        <v>20</v>
      </c>
      <c r="K79" s="43" t="s">
        <v>20</v>
      </c>
      <c r="L79" s="87">
        <f>AVERAGE(0)</f>
        <v>0</v>
      </c>
      <c r="M79" s="79" t="s">
        <v>20</v>
      </c>
      <c r="N79" s="19">
        <f>AVERAGE(200)</f>
        <v>200</v>
      </c>
      <c r="O79" s="40" t="s">
        <v>453</v>
      </c>
      <c r="P79" s="87" t="s">
        <v>20</v>
      </c>
      <c r="Q79" s="40" t="s">
        <v>20</v>
      </c>
      <c r="R79" s="43" t="s">
        <v>20</v>
      </c>
      <c r="S79" s="87" t="s">
        <v>20</v>
      </c>
      <c r="T79" s="40" t="s">
        <v>20</v>
      </c>
      <c r="U79" s="43" t="s">
        <v>20</v>
      </c>
      <c r="V79" s="16"/>
      <c r="W79" s="16"/>
    </row>
    <row r="80" spans="1:23" s="41" customFormat="1" ht="12" customHeight="1">
      <c r="A80" s="41" t="s">
        <v>232</v>
      </c>
      <c r="B80" s="41" t="s">
        <v>546</v>
      </c>
      <c r="C80" s="16">
        <v>40</v>
      </c>
      <c r="D80" s="16">
        <v>2</v>
      </c>
      <c r="E80" s="16">
        <f t="shared" si="3"/>
        <v>64</v>
      </c>
      <c r="F80" s="88" t="s">
        <v>463</v>
      </c>
      <c r="G80" s="63">
        <v>0.38</v>
      </c>
      <c r="H80" s="57">
        <v>0.2</v>
      </c>
      <c r="I80" s="16">
        <v>24.5</v>
      </c>
      <c r="J80" s="16">
        <v>63</v>
      </c>
      <c r="K80" s="43">
        <v>52</v>
      </c>
      <c r="L80" s="26">
        <f>AVERAGE(256,288,280,250)</f>
        <v>268.5</v>
      </c>
      <c r="M80" s="79" t="s">
        <v>781</v>
      </c>
      <c r="N80" s="16">
        <f>AVERAGE(358,302,299,330,351,335,317,315,300)</f>
        <v>323</v>
      </c>
      <c r="O80" s="40" t="s">
        <v>731</v>
      </c>
      <c r="P80" s="87" t="s">
        <v>20</v>
      </c>
      <c r="Q80" s="40" t="s">
        <v>20</v>
      </c>
      <c r="R80" s="43" t="s">
        <v>20</v>
      </c>
      <c r="S80" s="87">
        <v>364</v>
      </c>
      <c r="T80" s="40" t="s">
        <v>781</v>
      </c>
      <c r="U80" s="43" t="s">
        <v>35</v>
      </c>
      <c r="V80" s="16"/>
      <c r="W80" s="16"/>
    </row>
    <row r="81" spans="1:21" s="41" customFormat="1" ht="12" customHeight="1">
      <c r="A81" s="62" t="s">
        <v>232</v>
      </c>
      <c r="B81" s="62" t="s">
        <v>547</v>
      </c>
      <c r="C81" s="16">
        <v>50</v>
      </c>
      <c r="D81" s="19">
        <v>1.8</v>
      </c>
      <c r="E81" s="16">
        <f t="shared" si="3"/>
        <v>80</v>
      </c>
      <c r="F81" s="71" t="s">
        <v>36</v>
      </c>
      <c r="G81" s="63" t="s">
        <v>20</v>
      </c>
      <c r="H81" s="57" t="s">
        <v>20</v>
      </c>
      <c r="I81" s="16" t="s">
        <v>20</v>
      </c>
      <c r="J81" s="16" t="s">
        <v>20</v>
      </c>
      <c r="K81" s="35" t="s">
        <v>20</v>
      </c>
      <c r="L81" s="26">
        <f>AVERAGE(189)</f>
        <v>189</v>
      </c>
      <c r="M81" s="35" t="s">
        <v>668</v>
      </c>
      <c r="N81" s="16">
        <f>AVERAGE(250,280)</f>
        <v>265</v>
      </c>
      <c r="O81" s="16" t="s">
        <v>668</v>
      </c>
      <c r="P81" s="88" t="s">
        <v>20</v>
      </c>
      <c r="Q81" s="16" t="s">
        <v>20</v>
      </c>
      <c r="R81" s="79" t="s">
        <v>20</v>
      </c>
      <c r="S81" s="137" t="s">
        <v>20</v>
      </c>
      <c r="T81" s="16" t="s">
        <v>20</v>
      </c>
      <c r="U81" s="79" t="s">
        <v>20</v>
      </c>
    </row>
    <row r="82" spans="1:23" ht="12" customHeight="1">
      <c r="A82" s="42" t="s">
        <v>232</v>
      </c>
      <c r="B82" s="64" t="s">
        <v>548</v>
      </c>
      <c r="C82" s="28">
        <v>58</v>
      </c>
      <c r="D82" s="45">
        <v>1.4</v>
      </c>
      <c r="E82" s="28">
        <f t="shared" si="3"/>
        <v>92.80000000000001</v>
      </c>
      <c r="F82" s="86" t="s">
        <v>463</v>
      </c>
      <c r="G82" s="60">
        <v>0.45</v>
      </c>
      <c r="H82" s="61">
        <v>0.32</v>
      </c>
      <c r="I82" s="28">
        <v>47.5</v>
      </c>
      <c r="J82" s="28">
        <v>64.4</v>
      </c>
      <c r="K82" s="37">
        <v>58</v>
      </c>
      <c r="L82" s="28">
        <f>AVERAGE(325,230,304)</f>
        <v>286.3333333333333</v>
      </c>
      <c r="M82" s="46" t="s">
        <v>731</v>
      </c>
      <c r="N82" s="28">
        <f>AVERAGE(365,449,379,470,470,427,409,464,379)</f>
        <v>423.55555555555554</v>
      </c>
      <c r="O82" s="45" t="s">
        <v>781</v>
      </c>
      <c r="P82" s="27" t="s">
        <v>20</v>
      </c>
      <c r="Q82" s="28" t="s">
        <v>20</v>
      </c>
      <c r="R82" s="37" t="s">
        <v>20</v>
      </c>
      <c r="S82" s="89">
        <v>380</v>
      </c>
      <c r="T82" s="28" t="s">
        <v>661</v>
      </c>
      <c r="U82" s="37" t="s">
        <v>649</v>
      </c>
      <c r="V82" s="16"/>
      <c r="W82" s="16"/>
    </row>
    <row r="83" spans="1:21" s="41" customFormat="1" ht="12" customHeight="1">
      <c r="A83" s="62" t="s">
        <v>232</v>
      </c>
      <c r="B83" s="62" t="s">
        <v>549</v>
      </c>
      <c r="C83" s="16">
        <v>75</v>
      </c>
      <c r="D83" s="19">
        <v>2.5</v>
      </c>
      <c r="E83" s="16">
        <f t="shared" si="3"/>
        <v>120</v>
      </c>
      <c r="F83" s="71" t="s">
        <v>36</v>
      </c>
      <c r="G83" s="63">
        <v>0.7</v>
      </c>
      <c r="H83" s="57">
        <v>0.25</v>
      </c>
      <c r="I83" s="16">
        <v>40.2</v>
      </c>
      <c r="J83" s="16">
        <v>63.5</v>
      </c>
      <c r="K83" s="35">
        <v>49</v>
      </c>
      <c r="L83" s="26">
        <f>AVERAGE(382,355)</f>
        <v>368.5</v>
      </c>
      <c r="M83" s="35" t="s">
        <v>781</v>
      </c>
      <c r="N83" s="16">
        <f>AVERAGE(560,502,591,725,623)</f>
        <v>600.2</v>
      </c>
      <c r="O83" s="16" t="s">
        <v>781</v>
      </c>
      <c r="P83" s="88" t="s">
        <v>20</v>
      </c>
      <c r="Q83" s="16" t="s">
        <v>20</v>
      </c>
      <c r="R83" s="79" t="s">
        <v>20</v>
      </c>
      <c r="S83" s="88" t="s">
        <v>20</v>
      </c>
      <c r="T83" s="16" t="s">
        <v>20</v>
      </c>
      <c r="U83" s="79" t="s">
        <v>20</v>
      </c>
    </row>
    <row r="84" spans="1:21" s="41" customFormat="1" ht="12" customHeight="1">
      <c r="A84" s="62" t="s">
        <v>232</v>
      </c>
      <c r="B84" s="62" t="s">
        <v>550</v>
      </c>
      <c r="C84" s="16">
        <v>90</v>
      </c>
      <c r="D84" s="19">
        <v>3.5</v>
      </c>
      <c r="E84" s="16">
        <f t="shared" si="3"/>
        <v>144</v>
      </c>
      <c r="F84" s="71" t="s">
        <v>36</v>
      </c>
      <c r="G84" s="63">
        <v>0.5</v>
      </c>
      <c r="H84" s="57">
        <v>0.39</v>
      </c>
      <c r="I84" s="16">
        <v>57.6</v>
      </c>
      <c r="J84" s="16">
        <v>63.5</v>
      </c>
      <c r="K84" s="35">
        <v>49</v>
      </c>
      <c r="L84" s="26">
        <f>AVERAGE(295,294,250,250,368,255)</f>
        <v>285.3333333333333</v>
      </c>
      <c r="M84" s="35" t="s">
        <v>781</v>
      </c>
      <c r="N84" s="16">
        <f>AVERAGE(455,560,400,365,355,306,419,290)</f>
        <v>393.75</v>
      </c>
      <c r="O84" s="16" t="s">
        <v>661</v>
      </c>
      <c r="P84" s="88" t="s">
        <v>691</v>
      </c>
      <c r="Q84" s="16" t="s">
        <v>704</v>
      </c>
      <c r="R84" s="79" t="s">
        <v>37</v>
      </c>
      <c r="S84" s="137" t="s">
        <v>530</v>
      </c>
      <c r="T84" s="16" t="s">
        <v>536</v>
      </c>
      <c r="U84" s="79" t="s">
        <v>233</v>
      </c>
    </row>
    <row r="85" spans="1:21" s="41" customFormat="1" ht="12" customHeight="1">
      <c r="A85" s="62" t="s">
        <v>232</v>
      </c>
      <c r="B85" s="62" t="s">
        <v>765</v>
      </c>
      <c r="C85" s="16">
        <v>125</v>
      </c>
      <c r="D85" s="19">
        <v>2.5</v>
      </c>
      <c r="E85" s="16">
        <f>1.6*C85</f>
        <v>200</v>
      </c>
      <c r="F85" s="71" t="s">
        <v>36</v>
      </c>
      <c r="G85" s="63">
        <v>0.38</v>
      </c>
      <c r="H85" s="57">
        <v>0.69</v>
      </c>
      <c r="I85" s="16">
        <v>88.2</v>
      </c>
      <c r="J85" s="16">
        <v>76</v>
      </c>
      <c r="K85" s="35">
        <v>58</v>
      </c>
      <c r="L85" s="26">
        <f>AVERAGE(910,861,570)</f>
        <v>780.3333333333334</v>
      </c>
      <c r="M85" s="35" t="s">
        <v>536</v>
      </c>
      <c r="N85" s="16">
        <f>AVERAGE(1498.1095,1100,910,890,1125)</f>
        <v>1104.6219</v>
      </c>
      <c r="O85" s="16" t="s">
        <v>704</v>
      </c>
      <c r="P85" s="88" t="s">
        <v>20</v>
      </c>
      <c r="Q85" s="16" t="s">
        <v>20</v>
      </c>
      <c r="R85" s="79" t="s">
        <v>20</v>
      </c>
      <c r="S85" s="88" t="s">
        <v>450</v>
      </c>
      <c r="T85" s="16" t="s">
        <v>536</v>
      </c>
      <c r="U85" s="79" t="s">
        <v>233</v>
      </c>
    </row>
    <row r="86" spans="1:21" s="41" customFormat="1" ht="12" customHeight="1">
      <c r="A86" s="62" t="s">
        <v>232</v>
      </c>
      <c r="B86" s="62" t="s">
        <v>765</v>
      </c>
      <c r="C86" s="16">
        <v>125</v>
      </c>
      <c r="D86" s="19">
        <v>2.5</v>
      </c>
      <c r="E86" s="16">
        <f t="shared" si="3"/>
        <v>200</v>
      </c>
      <c r="F86" s="71" t="s">
        <v>52</v>
      </c>
      <c r="G86" s="63">
        <v>0.38</v>
      </c>
      <c r="H86" s="57">
        <v>0.69</v>
      </c>
      <c r="I86" s="16">
        <v>88.2</v>
      </c>
      <c r="J86" s="16">
        <v>76</v>
      </c>
      <c r="K86" s="35">
        <v>58</v>
      </c>
      <c r="L86" s="26">
        <f>AVERAGE(0)</f>
        <v>0</v>
      </c>
      <c r="M86" s="35" t="s">
        <v>20</v>
      </c>
      <c r="N86" s="16">
        <f>AVERAGE(1480,1395,1499,1248,1299,1278)</f>
        <v>1366.5</v>
      </c>
      <c r="O86" s="16" t="s">
        <v>731</v>
      </c>
      <c r="P86" s="88" t="s">
        <v>20</v>
      </c>
      <c r="Q86" s="16" t="s">
        <v>20</v>
      </c>
      <c r="R86" s="79" t="s">
        <v>20</v>
      </c>
      <c r="S86" s="88" t="s">
        <v>450</v>
      </c>
      <c r="T86" s="16" t="s">
        <v>536</v>
      </c>
      <c r="U86" s="79" t="s">
        <v>233</v>
      </c>
    </row>
    <row r="87" spans="1:23" ht="12" customHeight="1">
      <c r="A87" s="64" t="s">
        <v>232</v>
      </c>
      <c r="B87" s="64" t="s">
        <v>551</v>
      </c>
      <c r="C87" s="28">
        <v>180</v>
      </c>
      <c r="D87" s="67">
        <v>4</v>
      </c>
      <c r="E87" s="28">
        <f t="shared" si="3"/>
        <v>288</v>
      </c>
      <c r="F87" s="86" t="s">
        <v>36</v>
      </c>
      <c r="G87" s="60">
        <v>1.2</v>
      </c>
      <c r="H87" s="61">
        <v>0.485</v>
      </c>
      <c r="I87" s="28">
        <v>79</v>
      </c>
      <c r="J87" s="28">
        <v>65.6</v>
      </c>
      <c r="K87" s="37">
        <v>49</v>
      </c>
      <c r="L87" s="28">
        <f>AVERAGE(645,448)</f>
        <v>546.5</v>
      </c>
      <c r="M87" s="37" t="s">
        <v>731</v>
      </c>
      <c r="N87" s="28">
        <f>AVERAGE(794,850,943,899,650,832)</f>
        <v>828</v>
      </c>
      <c r="O87" s="28" t="s">
        <v>781</v>
      </c>
      <c r="P87" s="27" t="s">
        <v>20</v>
      </c>
      <c r="Q87" s="28" t="s">
        <v>20</v>
      </c>
      <c r="R87" s="37" t="s">
        <v>20</v>
      </c>
      <c r="S87" s="27" t="s">
        <v>450</v>
      </c>
      <c r="T87" s="28" t="s">
        <v>536</v>
      </c>
      <c r="U87" s="37" t="s">
        <v>233</v>
      </c>
      <c r="V87" s="16"/>
      <c r="W87" s="16"/>
    </row>
    <row r="88" spans="1:21" s="41" customFormat="1" ht="12" customHeight="1">
      <c r="A88" s="143" t="s">
        <v>632</v>
      </c>
      <c r="B88" s="74"/>
      <c r="C88" s="30"/>
      <c r="D88" s="75"/>
      <c r="E88" s="30"/>
      <c r="F88" s="78"/>
      <c r="G88" s="76" t="s">
        <v>20</v>
      </c>
      <c r="H88" s="77" t="s">
        <v>20</v>
      </c>
      <c r="I88" s="30" t="s">
        <v>20</v>
      </c>
      <c r="J88" s="30" t="s">
        <v>20</v>
      </c>
      <c r="K88" s="30" t="s">
        <v>20</v>
      </c>
      <c r="L88" s="100" t="s">
        <v>20</v>
      </c>
      <c r="M88" s="100" t="s">
        <v>20</v>
      </c>
      <c r="N88" s="30" t="s">
        <v>20</v>
      </c>
      <c r="O88" s="30" t="s">
        <v>20</v>
      </c>
      <c r="P88" s="30" t="s">
        <v>20</v>
      </c>
      <c r="Q88" s="30" t="s">
        <v>20</v>
      </c>
      <c r="R88" s="30" t="s">
        <v>20</v>
      </c>
      <c r="S88" s="30" t="s">
        <v>20</v>
      </c>
      <c r="T88" s="30" t="s">
        <v>20</v>
      </c>
      <c r="U88" s="30" t="s">
        <v>20</v>
      </c>
    </row>
    <row r="89" spans="1:21" s="41" customFormat="1" ht="12" customHeight="1">
      <c r="A89" s="62" t="s">
        <v>229</v>
      </c>
      <c r="B89" s="62" t="s">
        <v>526</v>
      </c>
      <c r="C89" s="16" t="s">
        <v>420</v>
      </c>
      <c r="D89" s="19">
        <v>2.8</v>
      </c>
      <c r="E89" s="16">
        <f>1.6*C89</f>
        <v>44.800000000000004</v>
      </c>
      <c r="F89" s="71" t="s">
        <v>36</v>
      </c>
      <c r="G89" s="63">
        <v>0.3</v>
      </c>
      <c r="H89" s="57">
        <v>0.565</v>
      </c>
      <c r="I89" s="16">
        <v>86.5</v>
      </c>
      <c r="J89" s="16">
        <v>75</v>
      </c>
      <c r="K89" s="16">
        <v>67</v>
      </c>
      <c r="L89" s="44">
        <f>AVERAGE(0)</f>
        <v>0</v>
      </c>
      <c r="M89" s="90" t="s">
        <v>417</v>
      </c>
      <c r="N89" s="16">
        <f>AVERAGE(850,1050,1217,1142)</f>
        <v>1064.75</v>
      </c>
      <c r="O89" s="16" t="s">
        <v>731</v>
      </c>
      <c r="P89" s="88" t="s">
        <v>754</v>
      </c>
      <c r="Q89" s="16" t="s">
        <v>767</v>
      </c>
      <c r="R89" s="79" t="s">
        <v>35</v>
      </c>
      <c r="S89" s="88" t="s">
        <v>752</v>
      </c>
      <c r="T89" s="16" t="s">
        <v>767</v>
      </c>
      <c r="U89" s="79" t="s">
        <v>38</v>
      </c>
    </row>
    <row r="90" spans="1:21" s="41" customFormat="1" ht="12" customHeight="1">
      <c r="A90" s="62" t="s">
        <v>229</v>
      </c>
      <c r="B90" s="62" t="s">
        <v>657</v>
      </c>
      <c r="C90" s="16">
        <v>35</v>
      </c>
      <c r="D90" s="19">
        <v>2.8</v>
      </c>
      <c r="E90" s="16">
        <f>1.6*C90</f>
        <v>56</v>
      </c>
      <c r="F90" s="71" t="s">
        <v>612</v>
      </c>
      <c r="G90" s="63"/>
      <c r="H90" s="57"/>
      <c r="I90" s="16"/>
      <c r="J90" s="16"/>
      <c r="K90" s="16"/>
      <c r="L90" s="26">
        <f>AVERAGE(112)</f>
        <v>112</v>
      </c>
      <c r="M90" s="35" t="s">
        <v>661</v>
      </c>
      <c r="N90" s="16" t="s">
        <v>20</v>
      </c>
      <c r="O90" s="16" t="s">
        <v>20</v>
      </c>
      <c r="P90" s="88" t="s">
        <v>20</v>
      </c>
      <c r="Q90" s="16" t="s">
        <v>20</v>
      </c>
      <c r="R90" s="79" t="s">
        <v>20</v>
      </c>
      <c r="S90" s="137" t="s">
        <v>20</v>
      </c>
      <c r="T90" s="16" t="s">
        <v>20</v>
      </c>
      <c r="U90" s="79" t="s">
        <v>20</v>
      </c>
    </row>
    <row r="91" spans="1:21" s="41" customFormat="1" ht="12" customHeight="1">
      <c r="A91" s="64" t="s">
        <v>229</v>
      </c>
      <c r="B91" s="23" t="s">
        <v>557</v>
      </c>
      <c r="C91" s="28">
        <v>35</v>
      </c>
      <c r="D91" s="45">
        <v>4</v>
      </c>
      <c r="E91" s="28">
        <f>1.6*C91</f>
        <v>56</v>
      </c>
      <c r="F91" s="94" t="s">
        <v>36</v>
      </c>
      <c r="G91" s="60" t="s">
        <v>20</v>
      </c>
      <c r="H91" s="61" t="s">
        <v>20</v>
      </c>
      <c r="I91" s="28" t="s">
        <v>20</v>
      </c>
      <c r="J91" s="28" t="s">
        <v>20</v>
      </c>
      <c r="K91" s="45" t="s">
        <v>20</v>
      </c>
      <c r="L91" s="27">
        <f>AVERAGE(326,375,345,383)</f>
        <v>357.25</v>
      </c>
      <c r="M91" s="154" t="s">
        <v>667</v>
      </c>
      <c r="N91" s="28">
        <f>AVERAGE(450,449)</f>
        <v>449.5</v>
      </c>
      <c r="O91" s="25" t="s">
        <v>536</v>
      </c>
      <c r="P91" s="27">
        <v>350</v>
      </c>
      <c r="Q91" s="25" t="s">
        <v>704</v>
      </c>
      <c r="R91" s="37" t="s">
        <v>702</v>
      </c>
      <c r="S91" s="27">
        <v>700</v>
      </c>
      <c r="T91" s="25" t="s">
        <v>781</v>
      </c>
      <c r="U91" s="37" t="s">
        <v>38</v>
      </c>
    </row>
  </sheetData>
  <sheetProtection password="990B" sheet="1" objects="1" scenarios="1"/>
  <conditionalFormatting sqref="T75:T65536 Q75:Q65536 O75:O65536 M75:M65536 O1:O72 Q1:Q72 M1:M72 T1:T72">
    <cfRule type="cellIs" priority="1" dxfId="0" operator="lessThan" stopIfTrue="1">
      <formula>".08-09"</formula>
    </cfRule>
  </conditionalFormatting>
  <conditionalFormatting sqref="Q73:Q74 T73:T74 M73:M74 O73:O74">
    <cfRule type="cellIs" priority="2" dxfId="0" operator="lessThan" stopIfTrue="1">
      <formula>".07-06"</formula>
    </cfRule>
  </conditionalFormatting>
  <printOptions/>
  <pageMargins left="0.3" right="0" top="0.5" bottom="0" header="0.590551181102362" footer="0.511811023622047"/>
  <pageSetup horizontalDpi="600" verticalDpi="600" orientation="landscape" r:id="rId1"/>
  <headerFooter alignWithMargins="0">
    <oddHeader>&amp;R&amp;9(&amp;P of &amp;N)</oddHeader>
  </headerFooter>
  <rowBreaks count="2" manualBreakCount="2">
    <brk id="42" max="255" man="1"/>
    <brk id="76" max="255" man="1"/>
  </rowBreaks>
</worksheet>
</file>

<file path=xl/worksheets/sheet5.xml><?xml version="1.0" encoding="utf-8"?>
<worksheet xmlns="http://schemas.openxmlformats.org/spreadsheetml/2006/main" xmlns:r="http://schemas.openxmlformats.org/officeDocument/2006/relationships">
  <sheetPr codeName="Sheet13"/>
  <dimension ref="A1:W141"/>
  <sheetViews>
    <sheetView workbookViewId="0" topLeftCell="A1">
      <selection activeCell="A1" sqref="A1"/>
    </sheetView>
  </sheetViews>
  <sheetFormatPr defaultColWidth="9.140625" defaultRowHeight="12" customHeight="1"/>
  <cols>
    <col min="1" max="1" width="8.7109375" style="81" customWidth="1"/>
    <col min="2" max="2" width="22.421875" style="81" customWidth="1"/>
    <col min="3" max="3" width="6.28125" style="15" customWidth="1"/>
    <col min="4" max="4" width="6.57421875" style="14" customWidth="1"/>
    <col min="5" max="5" width="6.28125" style="15" customWidth="1"/>
    <col min="6" max="6" width="4.7109375" style="18" customWidth="1"/>
    <col min="7" max="7" width="4.7109375" style="52" customWidth="1"/>
    <col min="8" max="8" width="4.7109375" style="80" customWidth="1"/>
    <col min="9" max="11" width="4.7109375" style="15" customWidth="1"/>
    <col min="12" max="20" width="5.28125" style="15" customWidth="1"/>
    <col min="21" max="21" width="5.7109375" style="15" customWidth="1"/>
    <col min="22" max="22" width="2.7109375" style="20" customWidth="1"/>
    <col min="23" max="16384" width="9.140625" style="20" customWidth="1"/>
  </cols>
  <sheetData>
    <row r="1" spans="1:21" ht="12" customHeight="1">
      <c r="A1" s="10" t="str">
        <f>i!A1</f>
        <v>Lens$db: Lens Price database</v>
      </c>
      <c r="B1" s="33"/>
      <c r="C1" s="49" t="s">
        <v>20</v>
      </c>
      <c r="D1" s="33" t="s">
        <v>20</v>
      </c>
      <c r="E1" s="49" t="s">
        <v>20</v>
      </c>
      <c r="F1" s="33" t="s">
        <v>20</v>
      </c>
      <c r="G1" s="52" t="s">
        <v>20</v>
      </c>
      <c r="H1" s="80" t="s">
        <v>20</v>
      </c>
      <c r="I1" s="15" t="s">
        <v>20</v>
      </c>
      <c r="J1" s="65" t="s">
        <v>20</v>
      </c>
      <c r="K1" s="15" t="s">
        <v>20</v>
      </c>
      <c r="L1" s="16" t="s">
        <v>20</v>
      </c>
      <c r="M1" s="16" t="s">
        <v>20</v>
      </c>
      <c r="N1" s="16" t="s">
        <v>20</v>
      </c>
      <c r="O1" s="16" t="s">
        <v>20</v>
      </c>
      <c r="P1" s="16" t="s">
        <v>20</v>
      </c>
      <c r="Q1" s="17" t="str">
        <f>i!B3</f>
        <v>.2010-06-01</v>
      </c>
      <c r="S1" s="51"/>
      <c r="T1" s="16" t="s">
        <v>20</v>
      </c>
      <c r="U1" s="16" t="s">
        <v>20</v>
      </c>
    </row>
    <row r="2" spans="1:21" ht="12" customHeight="1">
      <c r="A2" s="41"/>
      <c r="F2" s="40"/>
      <c r="G2" s="48"/>
      <c r="H2" s="57"/>
      <c r="I2" s="16"/>
      <c r="J2" s="11"/>
      <c r="K2" s="16"/>
      <c r="L2" s="16"/>
      <c r="M2" s="16"/>
      <c r="N2" s="28"/>
      <c r="O2" s="16"/>
      <c r="P2" s="28"/>
      <c r="Q2" s="16"/>
      <c r="R2" s="28"/>
      <c r="S2" s="28"/>
      <c r="T2" s="16"/>
      <c r="U2" s="28"/>
    </row>
    <row r="3" spans="1:21" s="33" customFormat="1" ht="12" customHeight="1">
      <c r="A3" s="41" t="s">
        <v>20</v>
      </c>
      <c r="B3" s="33" t="s">
        <v>20</v>
      </c>
      <c r="C3" s="53" t="s">
        <v>20</v>
      </c>
      <c r="D3" s="22" t="s">
        <v>20</v>
      </c>
      <c r="E3" s="53" t="s">
        <v>20</v>
      </c>
      <c r="F3" s="83" t="s">
        <v>20</v>
      </c>
      <c r="G3" s="54" t="s">
        <v>20</v>
      </c>
      <c r="H3" s="54" t="s">
        <v>20</v>
      </c>
      <c r="I3" s="54" t="s">
        <v>20</v>
      </c>
      <c r="J3" s="28" t="s">
        <v>20</v>
      </c>
      <c r="K3" s="54" t="s">
        <v>20</v>
      </c>
      <c r="L3" s="84" t="s">
        <v>20</v>
      </c>
      <c r="M3" s="30" t="s">
        <v>20</v>
      </c>
      <c r="N3" s="30" t="s">
        <v>21</v>
      </c>
      <c r="O3" s="30" t="s">
        <v>20</v>
      </c>
      <c r="P3" s="84" t="s">
        <v>20</v>
      </c>
      <c r="Q3" s="30" t="s">
        <v>20</v>
      </c>
      <c r="R3" s="38" t="s">
        <v>22</v>
      </c>
      <c r="S3" s="28"/>
      <c r="T3" s="30" t="s">
        <v>20</v>
      </c>
      <c r="U3" s="37" t="s">
        <v>20</v>
      </c>
    </row>
    <row r="4" spans="1:21" s="41" customFormat="1" ht="12" customHeight="1">
      <c r="A4" s="33" t="s">
        <v>20</v>
      </c>
      <c r="B4" s="33"/>
      <c r="C4" s="16" t="s">
        <v>6</v>
      </c>
      <c r="D4" s="19" t="s">
        <v>13</v>
      </c>
      <c r="E4" s="90" t="s">
        <v>642</v>
      </c>
      <c r="F4" s="18" t="s">
        <v>15</v>
      </c>
      <c r="G4" s="56" t="s">
        <v>519</v>
      </c>
      <c r="H4" s="57" t="s">
        <v>7</v>
      </c>
      <c r="I4" s="16" t="s">
        <v>587</v>
      </c>
      <c r="J4" s="16" t="s">
        <v>588</v>
      </c>
      <c r="K4" s="35" t="s">
        <v>589</v>
      </c>
      <c r="L4" s="36" t="s">
        <v>23</v>
      </c>
      <c r="M4" s="37"/>
      <c r="N4" s="38" t="s">
        <v>24</v>
      </c>
      <c r="O4" s="37"/>
      <c r="P4" s="131"/>
      <c r="Q4" s="35" t="s">
        <v>9</v>
      </c>
      <c r="R4" s="35"/>
      <c r="S4" s="132"/>
      <c r="T4" s="35" t="s">
        <v>11</v>
      </c>
      <c r="U4" s="35"/>
    </row>
    <row r="5" spans="1:21" s="41" customFormat="1" ht="12" customHeight="1">
      <c r="A5" s="42" t="s">
        <v>20</v>
      </c>
      <c r="B5" s="42" t="s">
        <v>20</v>
      </c>
      <c r="C5" s="28" t="s">
        <v>25</v>
      </c>
      <c r="D5" s="45" t="s">
        <v>20</v>
      </c>
      <c r="E5" s="28" t="s">
        <v>20</v>
      </c>
      <c r="F5" s="92" t="s">
        <v>20</v>
      </c>
      <c r="G5" s="60" t="s">
        <v>43</v>
      </c>
      <c r="H5" s="61" t="s">
        <v>26</v>
      </c>
      <c r="I5" s="28" t="s">
        <v>25</v>
      </c>
      <c r="J5" s="28" t="s">
        <v>25</v>
      </c>
      <c r="K5" s="37" t="s">
        <v>25</v>
      </c>
      <c r="L5" s="27" t="s">
        <v>27</v>
      </c>
      <c r="M5" s="37" t="s">
        <v>28</v>
      </c>
      <c r="N5" s="28" t="s">
        <v>27</v>
      </c>
      <c r="O5" s="28" t="s">
        <v>28</v>
      </c>
      <c r="P5" s="39" t="s">
        <v>27</v>
      </c>
      <c r="Q5" s="30" t="s">
        <v>28</v>
      </c>
      <c r="R5" s="32" t="s">
        <v>29</v>
      </c>
      <c r="S5" s="39" t="s">
        <v>27</v>
      </c>
      <c r="T5" s="30" t="s">
        <v>28</v>
      </c>
      <c r="U5" s="32" t="s">
        <v>29</v>
      </c>
    </row>
    <row r="6" spans="1:21" s="41" customFormat="1" ht="12" customHeight="1">
      <c r="A6" s="143" t="s">
        <v>776</v>
      </c>
      <c r="B6" s="74"/>
      <c r="C6" s="30"/>
      <c r="D6" s="75"/>
      <c r="E6" s="30"/>
      <c r="F6" s="78"/>
      <c r="G6" s="76"/>
      <c r="H6" s="77"/>
      <c r="I6" s="30"/>
      <c r="J6" s="30"/>
      <c r="K6" s="30"/>
      <c r="L6" s="30"/>
      <c r="M6" s="30" t="s">
        <v>767</v>
      </c>
      <c r="N6" s="30"/>
      <c r="O6" s="30" t="s">
        <v>767</v>
      </c>
      <c r="P6" s="30"/>
      <c r="Q6" s="30"/>
      <c r="R6" s="30"/>
      <c r="S6" s="30"/>
      <c r="T6" s="30" t="s">
        <v>767</v>
      </c>
      <c r="U6" s="30"/>
    </row>
    <row r="7" spans="1:21" ht="12" customHeight="1">
      <c r="A7" s="62" t="s">
        <v>688</v>
      </c>
      <c r="B7" s="62" t="s">
        <v>277</v>
      </c>
      <c r="C7" s="16">
        <v>15</v>
      </c>
      <c r="D7" s="19">
        <v>3.5</v>
      </c>
      <c r="E7" s="16">
        <f aca="true" t="shared" si="0" ref="E7:E40">1.6*C7</f>
        <v>24</v>
      </c>
      <c r="F7" s="93" t="s">
        <v>220</v>
      </c>
      <c r="G7" s="63">
        <v>0.18</v>
      </c>
      <c r="H7" s="57">
        <v>0.71</v>
      </c>
      <c r="I7" s="16">
        <v>83.5</v>
      </c>
      <c r="J7" s="16">
        <v>83.5</v>
      </c>
      <c r="K7" s="35" t="s">
        <v>203</v>
      </c>
      <c r="L7" s="16">
        <f>AVERAGE(2200,2078,2550,2213,2030,1899,2500,2495)</f>
        <v>2245.625</v>
      </c>
      <c r="M7" s="35" t="s">
        <v>536</v>
      </c>
      <c r="N7" s="16">
        <f>AVERAGE(4500,4495)</f>
        <v>4497.5</v>
      </c>
      <c r="O7" s="16" t="s">
        <v>516</v>
      </c>
      <c r="P7" s="44">
        <v>1900</v>
      </c>
      <c r="Q7" s="100" t="s">
        <v>781</v>
      </c>
      <c r="R7" s="90" t="s">
        <v>35</v>
      </c>
      <c r="S7" s="44">
        <v>2000</v>
      </c>
      <c r="T7" s="100" t="s">
        <v>781</v>
      </c>
      <c r="U7" s="90" t="s">
        <v>35</v>
      </c>
    </row>
    <row r="8" spans="1:21" ht="12" customHeight="1">
      <c r="A8" s="62" t="s">
        <v>543</v>
      </c>
      <c r="B8" s="62" t="s">
        <v>697</v>
      </c>
      <c r="C8" s="16">
        <v>16</v>
      </c>
      <c r="D8" s="19">
        <v>2.8</v>
      </c>
      <c r="E8" s="16" t="s">
        <v>20</v>
      </c>
      <c r="F8" s="93" t="s">
        <v>220</v>
      </c>
      <c r="G8" s="63">
        <v>0.3</v>
      </c>
      <c r="H8" s="57" t="s">
        <v>20</v>
      </c>
      <c r="I8" s="16" t="s">
        <v>20</v>
      </c>
      <c r="J8" s="16" t="s">
        <v>20</v>
      </c>
      <c r="K8" s="35" t="s">
        <v>20</v>
      </c>
      <c r="L8" s="16" t="s">
        <v>20</v>
      </c>
      <c r="M8" s="35" t="s">
        <v>20</v>
      </c>
      <c r="N8" s="16">
        <f>AVERAGE(628)</f>
        <v>628</v>
      </c>
      <c r="O8" s="16" t="s">
        <v>704</v>
      </c>
      <c r="P8" s="26">
        <v>890</v>
      </c>
      <c r="Q8" s="16" t="s">
        <v>767</v>
      </c>
      <c r="R8" s="35" t="s">
        <v>35</v>
      </c>
      <c r="S8" s="26">
        <v>1040</v>
      </c>
      <c r="T8" s="16" t="s">
        <v>720</v>
      </c>
      <c r="U8" s="35" t="s">
        <v>716</v>
      </c>
    </row>
    <row r="9" spans="1:21" ht="12" customHeight="1">
      <c r="A9" s="62" t="s">
        <v>543</v>
      </c>
      <c r="B9" s="62" t="s">
        <v>590</v>
      </c>
      <c r="C9" s="16">
        <v>19</v>
      </c>
      <c r="D9" s="19">
        <v>2.8</v>
      </c>
      <c r="E9" s="16">
        <f t="shared" si="0"/>
        <v>30.400000000000002</v>
      </c>
      <c r="F9" s="93" t="s">
        <v>220</v>
      </c>
      <c r="G9" s="63">
        <v>0.3</v>
      </c>
      <c r="H9" s="57">
        <v>0.59</v>
      </c>
      <c r="I9" s="16">
        <v>71</v>
      </c>
      <c r="J9" s="16">
        <v>61</v>
      </c>
      <c r="K9" s="35" t="s">
        <v>203</v>
      </c>
      <c r="L9" s="16">
        <f>AVERAGE(933,811,886,549,701)</f>
        <v>776</v>
      </c>
      <c r="M9" s="35" t="s">
        <v>731</v>
      </c>
      <c r="N9" s="16">
        <f>AVERAGE(1542,1450,860,1345,1351)</f>
        <v>1309.6</v>
      </c>
      <c r="O9" s="16" t="s">
        <v>731</v>
      </c>
      <c r="P9" s="26" t="s">
        <v>20</v>
      </c>
      <c r="Q9" s="16" t="s">
        <v>20</v>
      </c>
      <c r="R9" s="35" t="s">
        <v>20</v>
      </c>
      <c r="S9" s="26">
        <v>1195</v>
      </c>
      <c r="T9" s="16" t="s">
        <v>731</v>
      </c>
      <c r="U9" s="35" t="s">
        <v>713</v>
      </c>
    </row>
    <row r="10" spans="1:21" ht="12" customHeight="1">
      <c r="A10" s="64" t="s">
        <v>543</v>
      </c>
      <c r="B10" s="64" t="s">
        <v>221</v>
      </c>
      <c r="C10" s="28">
        <v>21</v>
      </c>
      <c r="D10" s="45">
        <v>4</v>
      </c>
      <c r="E10" s="28">
        <f t="shared" si="0"/>
        <v>33.6</v>
      </c>
      <c r="F10" s="94" t="s">
        <v>220</v>
      </c>
      <c r="G10" s="60" t="s">
        <v>20</v>
      </c>
      <c r="H10" s="61" t="s">
        <v>20</v>
      </c>
      <c r="I10" s="28" t="s">
        <v>20</v>
      </c>
      <c r="J10" s="28" t="s">
        <v>20</v>
      </c>
      <c r="K10" s="37">
        <v>72</v>
      </c>
      <c r="L10" s="28">
        <f>AVERAGE(600,585,582,550,405,455,504,560)</f>
        <v>530.125</v>
      </c>
      <c r="M10" s="28" t="s">
        <v>781</v>
      </c>
      <c r="N10" s="27">
        <f>AVERAGE(611,525,619,765,600,519,578,578,650,680,610)</f>
        <v>612.2727272727273</v>
      </c>
      <c r="O10" s="28" t="s">
        <v>731</v>
      </c>
      <c r="P10" s="27">
        <v>475</v>
      </c>
      <c r="Q10" s="28" t="s">
        <v>781</v>
      </c>
      <c r="R10" s="37" t="s">
        <v>41</v>
      </c>
      <c r="S10" s="27">
        <v>700</v>
      </c>
      <c r="T10" s="28" t="s">
        <v>731</v>
      </c>
      <c r="U10" s="37" t="s">
        <v>713</v>
      </c>
    </row>
    <row r="11" spans="1:21" ht="12" customHeight="1">
      <c r="A11" s="62" t="s">
        <v>543</v>
      </c>
      <c r="B11" s="95" t="s">
        <v>326</v>
      </c>
      <c r="C11" s="16">
        <v>24</v>
      </c>
      <c r="D11" s="19">
        <v>2.8</v>
      </c>
      <c r="E11" s="16">
        <f>1.6*C11</f>
        <v>38.400000000000006</v>
      </c>
      <c r="F11" s="93" t="s">
        <v>220</v>
      </c>
      <c r="G11" s="63">
        <v>0.3</v>
      </c>
      <c r="H11" s="57">
        <v>0.4</v>
      </c>
      <c r="I11" s="16" t="s">
        <v>20</v>
      </c>
      <c r="J11" s="16" t="s">
        <v>20</v>
      </c>
      <c r="K11" s="35">
        <v>60</v>
      </c>
      <c r="L11" s="16">
        <f>AVERAGE(333,400,450,369,405,365,360,435,404,401)</f>
        <v>392.2</v>
      </c>
      <c r="M11" s="35" t="s">
        <v>781</v>
      </c>
      <c r="N11" s="16">
        <f>AVERAGE(515,510,700,565,625,565,575,699,649,553)</f>
        <v>595.6</v>
      </c>
      <c r="O11" s="16" t="s">
        <v>781</v>
      </c>
      <c r="P11" s="26">
        <v>600</v>
      </c>
      <c r="Q11" s="16" t="s">
        <v>781</v>
      </c>
      <c r="R11" s="35" t="s">
        <v>702</v>
      </c>
      <c r="S11" s="26">
        <v>545</v>
      </c>
      <c r="T11" s="16" t="s">
        <v>781</v>
      </c>
      <c r="U11" s="35" t="s">
        <v>33</v>
      </c>
    </row>
    <row r="12" spans="1:21" ht="12" customHeight="1">
      <c r="A12" s="62" t="s">
        <v>543</v>
      </c>
      <c r="B12" s="95" t="s">
        <v>772</v>
      </c>
      <c r="C12" s="16">
        <v>24</v>
      </c>
      <c r="D12" s="19">
        <v>2.8</v>
      </c>
      <c r="E12" s="16">
        <f t="shared" si="0"/>
        <v>38.400000000000006</v>
      </c>
      <c r="F12" s="93" t="s">
        <v>220</v>
      </c>
      <c r="G12" s="63" t="s">
        <v>20</v>
      </c>
      <c r="H12" s="57" t="s">
        <v>20</v>
      </c>
      <c r="I12" s="16" t="s">
        <v>20</v>
      </c>
      <c r="J12" s="16" t="s">
        <v>20</v>
      </c>
      <c r="K12" s="35" t="s">
        <v>20</v>
      </c>
      <c r="L12" s="16" t="s">
        <v>20</v>
      </c>
      <c r="M12" s="35" t="s">
        <v>20</v>
      </c>
      <c r="N12" s="16" t="s">
        <v>20</v>
      </c>
      <c r="O12" s="16" t="s">
        <v>20</v>
      </c>
      <c r="P12" s="26" t="s">
        <v>20</v>
      </c>
      <c r="Q12" s="16" t="s">
        <v>20</v>
      </c>
      <c r="R12" s="35" t="s">
        <v>20</v>
      </c>
      <c r="S12" s="26">
        <v>825</v>
      </c>
      <c r="T12" s="16" t="s">
        <v>781</v>
      </c>
      <c r="U12" s="35" t="s">
        <v>33</v>
      </c>
    </row>
    <row r="13" spans="1:21" ht="12" customHeight="1">
      <c r="A13" s="62" t="s">
        <v>543</v>
      </c>
      <c r="B13" s="62" t="s">
        <v>750</v>
      </c>
      <c r="C13" s="16">
        <v>28</v>
      </c>
      <c r="D13" s="19">
        <v>2.8</v>
      </c>
      <c r="E13" s="16">
        <f>1.6*C13</f>
        <v>44.800000000000004</v>
      </c>
      <c r="F13" s="93" t="s">
        <v>220</v>
      </c>
      <c r="G13" s="63">
        <v>0.3</v>
      </c>
      <c r="H13" s="57">
        <v>0.435</v>
      </c>
      <c r="I13" s="16">
        <v>48</v>
      </c>
      <c r="J13" s="16">
        <v>67.5</v>
      </c>
      <c r="K13" s="35">
        <v>55</v>
      </c>
      <c r="L13" s="16">
        <f>AVERAGE(405,385,385,335,390,395,421,327,360,318,283)</f>
        <v>364</v>
      </c>
      <c r="M13" s="16" t="s">
        <v>781</v>
      </c>
      <c r="N13" s="26">
        <f>AVERAGE(472,610,595,535,440,550,437,418)</f>
        <v>507.125</v>
      </c>
      <c r="O13" s="16" t="s">
        <v>781</v>
      </c>
      <c r="P13" s="26">
        <v>295</v>
      </c>
      <c r="Q13" s="16" t="s">
        <v>731</v>
      </c>
      <c r="R13" s="35" t="s">
        <v>33</v>
      </c>
      <c r="S13" s="26">
        <v>495</v>
      </c>
      <c r="T13" s="16" t="s">
        <v>704</v>
      </c>
      <c r="U13" s="35" t="s">
        <v>703</v>
      </c>
    </row>
    <row r="14" spans="1:21" ht="12" customHeight="1">
      <c r="A14" s="62" t="s">
        <v>543</v>
      </c>
      <c r="B14" s="62" t="s">
        <v>766</v>
      </c>
      <c r="C14" s="16">
        <v>28</v>
      </c>
      <c r="D14" s="19">
        <v>2.8</v>
      </c>
      <c r="E14" s="16">
        <f t="shared" si="0"/>
        <v>44.800000000000004</v>
      </c>
      <c r="F14" s="93" t="s">
        <v>220</v>
      </c>
      <c r="G14" s="63" t="s">
        <v>20</v>
      </c>
      <c r="H14" s="57" t="s">
        <v>20</v>
      </c>
      <c r="I14" s="16" t="s">
        <v>20</v>
      </c>
      <c r="J14" s="16" t="s">
        <v>20</v>
      </c>
      <c r="K14" s="35" t="s">
        <v>20</v>
      </c>
      <c r="L14" s="16">
        <f>AVERAGE(0)</f>
        <v>0</v>
      </c>
      <c r="M14" s="16" t="s">
        <v>20</v>
      </c>
      <c r="N14" s="16">
        <f>AVERAGE(1143)</f>
        <v>1143</v>
      </c>
      <c r="O14" s="16" t="s">
        <v>767</v>
      </c>
      <c r="P14" s="26">
        <v>1150</v>
      </c>
      <c r="Q14" s="16" t="s">
        <v>781</v>
      </c>
      <c r="R14" s="35" t="s">
        <v>34</v>
      </c>
      <c r="S14" s="26" t="s">
        <v>20</v>
      </c>
      <c r="T14" s="16" t="s">
        <v>20</v>
      </c>
      <c r="U14" s="35" t="s">
        <v>20</v>
      </c>
    </row>
    <row r="15" spans="1:21" ht="12" customHeight="1">
      <c r="A15" s="62" t="s">
        <v>543</v>
      </c>
      <c r="B15" s="62" t="s">
        <v>419</v>
      </c>
      <c r="C15" s="16">
        <v>28</v>
      </c>
      <c r="D15" s="19">
        <v>2.8</v>
      </c>
      <c r="E15" s="16">
        <f t="shared" si="0"/>
        <v>44.800000000000004</v>
      </c>
      <c r="F15" s="93" t="s">
        <v>220</v>
      </c>
      <c r="G15" s="63" t="s">
        <v>20</v>
      </c>
      <c r="H15" s="57" t="s">
        <v>20</v>
      </c>
      <c r="I15" s="16" t="s">
        <v>20</v>
      </c>
      <c r="J15" s="16" t="s">
        <v>20</v>
      </c>
      <c r="K15" s="35" t="s">
        <v>20</v>
      </c>
      <c r="L15" s="16">
        <f>AVERAGE(1200,1056,1170)</f>
        <v>1142</v>
      </c>
      <c r="M15" s="16" t="s">
        <v>704</v>
      </c>
      <c r="N15" s="26">
        <f>AVERAGE(1399,1450,2089,2295,1375)</f>
        <v>1721.6</v>
      </c>
      <c r="O15" s="16" t="s">
        <v>536</v>
      </c>
      <c r="P15" s="26">
        <v>1120</v>
      </c>
      <c r="Q15" s="16" t="s">
        <v>781</v>
      </c>
      <c r="R15" s="35" t="s">
        <v>35</v>
      </c>
      <c r="S15" s="26">
        <v>1545</v>
      </c>
      <c r="T15" s="16" t="s">
        <v>781</v>
      </c>
      <c r="U15" s="35" t="s">
        <v>33</v>
      </c>
    </row>
    <row r="16" spans="1:21" ht="12" customHeight="1">
      <c r="A16" s="62" t="s">
        <v>543</v>
      </c>
      <c r="B16" s="96" t="s">
        <v>242</v>
      </c>
      <c r="C16" s="16">
        <v>35</v>
      </c>
      <c r="D16" s="19">
        <v>1.4</v>
      </c>
      <c r="E16" s="16">
        <f>1.6*C16</f>
        <v>56</v>
      </c>
      <c r="F16" s="93" t="s">
        <v>220</v>
      </c>
      <c r="G16" s="63">
        <v>0.5</v>
      </c>
      <c r="H16" s="57">
        <v>0.685</v>
      </c>
      <c r="I16" s="16">
        <v>76</v>
      </c>
      <c r="J16" s="16">
        <v>75</v>
      </c>
      <c r="K16" s="35">
        <v>67</v>
      </c>
      <c r="L16" s="16">
        <f>AVERAGE(910,910,1008,999,1000,930)</f>
        <v>959.5</v>
      </c>
      <c r="M16" s="16" t="s">
        <v>661</v>
      </c>
      <c r="N16" s="26">
        <f>AVERAGE(1370,1349,1400,1173,1115,1400,1228,1400,1425)</f>
        <v>1317.7777777777778</v>
      </c>
      <c r="O16" s="16" t="s">
        <v>781</v>
      </c>
      <c r="P16" s="26">
        <v>1400</v>
      </c>
      <c r="Q16" s="16" t="s">
        <v>704</v>
      </c>
      <c r="R16" s="35" t="s">
        <v>38</v>
      </c>
      <c r="S16" s="26">
        <v>1825</v>
      </c>
      <c r="T16" s="16" t="s">
        <v>781</v>
      </c>
      <c r="U16" s="35" t="s">
        <v>33</v>
      </c>
    </row>
    <row r="17" spans="1:21" ht="12" customHeight="1">
      <c r="A17" s="62" t="s">
        <v>543</v>
      </c>
      <c r="B17" s="96" t="s">
        <v>773</v>
      </c>
      <c r="C17" s="16">
        <v>35</v>
      </c>
      <c r="D17" s="19">
        <v>1.4</v>
      </c>
      <c r="E17" s="16">
        <f t="shared" si="0"/>
        <v>56</v>
      </c>
      <c r="F17" s="93" t="s">
        <v>220</v>
      </c>
      <c r="G17" s="63" t="s">
        <v>20</v>
      </c>
      <c r="H17" s="57" t="s">
        <v>20</v>
      </c>
      <c r="I17" s="16" t="s">
        <v>20</v>
      </c>
      <c r="J17" s="16" t="s">
        <v>20</v>
      </c>
      <c r="K17" s="35" t="s">
        <v>20</v>
      </c>
      <c r="L17" s="16" t="s">
        <v>20</v>
      </c>
      <c r="M17" s="16" t="s">
        <v>20</v>
      </c>
      <c r="N17" s="26" t="s">
        <v>20</v>
      </c>
      <c r="O17" s="16" t="s">
        <v>20</v>
      </c>
      <c r="P17" s="26" t="s">
        <v>20</v>
      </c>
      <c r="Q17" s="16" t="s">
        <v>20</v>
      </c>
      <c r="R17" s="35" t="s">
        <v>20</v>
      </c>
      <c r="S17" s="26">
        <v>2495</v>
      </c>
      <c r="T17" s="16" t="s">
        <v>781</v>
      </c>
      <c r="U17" s="35" t="s">
        <v>34</v>
      </c>
    </row>
    <row r="18" spans="1:21" ht="12" customHeight="1">
      <c r="A18" s="62" t="s">
        <v>543</v>
      </c>
      <c r="B18" s="96" t="s">
        <v>698</v>
      </c>
      <c r="C18" s="16">
        <v>35</v>
      </c>
      <c r="D18" s="19">
        <v>2</v>
      </c>
      <c r="E18" s="16">
        <f>1.6*C18</f>
        <v>56</v>
      </c>
      <c r="F18" s="93" t="s">
        <v>220</v>
      </c>
      <c r="G18" s="63">
        <v>0.3</v>
      </c>
      <c r="H18" s="57">
        <v>0.43</v>
      </c>
      <c r="I18" s="16">
        <v>54</v>
      </c>
      <c r="J18" s="16">
        <v>66</v>
      </c>
      <c r="K18" s="35">
        <v>55</v>
      </c>
      <c r="L18" s="16">
        <f>AVERAGE(504,715,441,365,475,465,355,390)</f>
        <v>463.75</v>
      </c>
      <c r="M18" s="16" t="s">
        <v>781</v>
      </c>
      <c r="N18" s="26">
        <f>AVERAGE(767,717,780,610,520,525,600,550,625)</f>
        <v>632.6666666666666</v>
      </c>
      <c r="O18" s="16" t="s">
        <v>731</v>
      </c>
      <c r="P18" s="26">
        <v>550</v>
      </c>
      <c r="Q18" s="16" t="s">
        <v>704</v>
      </c>
      <c r="R18" s="35" t="s">
        <v>702</v>
      </c>
      <c r="S18" s="26">
        <v>595</v>
      </c>
      <c r="T18" s="16" t="s">
        <v>720</v>
      </c>
      <c r="U18" s="35" t="s">
        <v>713</v>
      </c>
    </row>
    <row r="19" spans="1:21" ht="12" customHeight="1">
      <c r="A19" s="62" t="s">
        <v>543</v>
      </c>
      <c r="B19" s="96" t="s">
        <v>692</v>
      </c>
      <c r="C19" s="16">
        <v>35</v>
      </c>
      <c r="D19" s="19">
        <v>2</v>
      </c>
      <c r="E19" s="16">
        <f>1.6*C19</f>
        <v>56</v>
      </c>
      <c r="F19" s="93" t="s">
        <v>220</v>
      </c>
      <c r="G19" s="63">
        <v>0.3</v>
      </c>
      <c r="H19" s="57">
        <v>0.43</v>
      </c>
      <c r="I19" s="16">
        <v>54</v>
      </c>
      <c r="J19" s="16">
        <v>66</v>
      </c>
      <c r="K19" s="35">
        <v>55</v>
      </c>
      <c r="L19" s="16">
        <f>AVERAGE(750,715)</f>
        <v>732.5</v>
      </c>
      <c r="M19" s="16" t="s">
        <v>781</v>
      </c>
      <c r="N19" s="26">
        <f>AVERAGE(720,999,1000)</f>
        <v>906.3333333333334</v>
      </c>
      <c r="O19" s="16" t="s">
        <v>720</v>
      </c>
      <c r="P19" s="26">
        <v>595</v>
      </c>
      <c r="Q19" s="16" t="s">
        <v>720</v>
      </c>
      <c r="R19" s="35" t="s">
        <v>717</v>
      </c>
      <c r="S19" s="26" t="s">
        <v>20</v>
      </c>
      <c r="T19" s="16" t="s">
        <v>20</v>
      </c>
      <c r="U19" s="35" t="s">
        <v>20</v>
      </c>
    </row>
    <row r="20" spans="1:21" ht="12" customHeight="1">
      <c r="A20" s="62" t="s">
        <v>543</v>
      </c>
      <c r="B20" s="96" t="s">
        <v>774</v>
      </c>
      <c r="C20" s="16">
        <v>35</v>
      </c>
      <c r="D20" s="19">
        <v>2</v>
      </c>
      <c r="E20" s="16">
        <f t="shared" si="0"/>
        <v>56</v>
      </c>
      <c r="F20" s="93" t="s">
        <v>220</v>
      </c>
      <c r="G20" s="63" t="s">
        <v>20</v>
      </c>
      <c r="H20" s="57" t="s">
        <v>20</v>
      </c>
      <c r="I20" s="16" t="s">
        <v>20</v>
      </c>
      <c r="J20" s="16" t="s">
        <v>20</v>
      </c>
      <c r="K20" s="35" t="s">
        <v>20</v>
      </c>
      <c r="L20" s="16" t="s">
        <v>20</v>
      </c>
      <c r="M20" s="16" t="s">
        <v>20</v>
      </c>
      <c r="N20" s="26" t="s">
        <v>20</v>
      </c>
      <c r="O20" s="16" t="s">
        <v>20</v>
      </c>
      <c r="P20" s="26" t="s">
        <v>20</v>
      </c>
      <c r="Q20" s="16" t="s">
        <v>20</v>
      </c>
      <c r="R20" s="35" t="s">
        <v>20</v>
      </c>
      <c r="S20" s="26">
        <v>995</v>
      </c>
      <c r="T20" s="16" t="s">
        <v>667</v>
      </c>
      <c r="U20" s="35" t="s">
        <v>34</v>
      </c>
    </row>
    <row r="21" spans="1:21" ht="12" customHeight="1">
      <c r="A21" s="62" t="s">
        <v>543</v>
      </c>
      <c r="B21" s="96" t="s">
        <v>699</v>
      </c>
      <c r="C21" s="16">
        <v>35</v>
      </c>
      <c r="D21" s="19">
        <v>2.8</v>
      </c>
      <c r="E21" s="16">
        <f>1.6*C21</f>
        <v>56</v>
      </c>
      <c r="F21" s="93" t="s">
        <v>220</v>
      </c>
      <c r="G21" s="63">
        <v>0.3</v>
      </c>
      <c r="H21" s="57">
        <v>0.41</v>
      </c>
      <c r="I21" s="16">
        <v>40</v>
      </c>
      <c r="J21" s="16">
        <v>63</v>
      </c>
      <c r="K21" s="35" t="s">
        <v>693</v>
      </c>
      <c r="L21" s="16">
        <f>AVERAGE(407)</f>
        <v>407</v>
      </c>
      <c r="M21" s="16" t="s">
        <v>781</v>
      </c>
      <c r="N21" s="26">
        <f>AVERAGE(480)</f>
        <v>480</v>
      </c>
      <c r="O21" s="16" t="s">
        <v>731</v>
      </c>
      <c r="P21" s="26">
        <v>430</v>
      </c>
      <c r="Q21" s="16" t="s">
        <v>781</v>
      </c>
      <c r="R21" s="35" t="s">
        <v>41</v>
      </c>
      <c r="S21" s="26">
        <v>450</v>
      </c>
      <c r="T21" s="16" t="s">
        <v>731</v>
      </c>
      <c r="U21" s="35" t="s">
        <v>195</v>
      </c>
    </row>
    <row r="22" spans="1:21" ht="12" customHeight="1">
      <c r="A22" s="64" t="s">
        <v>543</v>
      </c>
      <c r="B22" s="64" t="s">
        <v>694</v>
      </c>
      <c r="C22" s="28">
        <v>35</v>
      </c>
      <c r="D22" s="45">
        <v>2.8</v>
      </c>
      <c r="E22" s="28">
        <f t="shared" si="0"/>
        <v>56</v>
      </c>
      <c r="F22" s="94" t="s">
        <v>220</v>
      </c>
      <c r="G22" s="60">
        <v>0.3</v>
      </c>
      <c r="H22" s="61">
        <v>0.305</v>
      </c>
      <c r="I22" s="28">
        <v>41.5</v>
      </c>
      <c r="J22" s="28">
        <v>66</v>
      </c>
      <c r="K22" s="37">
        <v>55</v>
      </c>
      <c r="L22" s="28">
        <f>AVERAGE(225,215,182,239,290,219,255,135,203,223)</f>
        <v>218.6</v>
      </c>
      <c r="M22" s="28" t="s">
        <v>731</v>
      </c>
      <c r="N22" s="27">
        <f>AVERAGE(480,375,456,368,399,325,365,355,338,363,320)</f>
        <v>376.72727272727275</v>
      </c>
      <c r="O22" s="28" t="s">
        <v>731</v>
      </c>
      <c r="P22" s="27">
        <v>429</v>
      </c>
      <c r="Q22" s="28" t="s">
        <v>704</v>
      </c>
      <c r="R22" s="37" t="s">
        <v>35</v>
      </c>
      <c r="S22" s="27" t="s">
        <v>20</v>
      </c>
      <c r="T22" s="28" t="s">
        <v>20</v>
      </c>
      <c r="U22" s="37" t="s">
        <v>20</v>
      </c>
    </row>
    <row r="23" spans="1:21" ht="12" customHeight="1">
      <c r="A23" s="62" t="s">
        <v>543</v>
      </c>
      <c r="B23" s="96" t="s">
        <v>695</v>
      </c>
      <c r="C23" s="16">
        <v>50</v>
      </c>
      <c r="D23" s="19">
        <v>1.4</v>
      </c>
      <c r="E23" s="16">
        <f t="shared" si="0"/>
        <v>80</v>
      </c>
      <c r="F23" s="93" t="s">
        <v>220</v>
      </c>
      <c r="G23" s="63">
        <v>0.5</v>
      </c>
      <c r="H23" s="57">
        <v>0.49</v>
      </c>
      <c r="I23" s="16">
        <v>51</v>
      </c>
      <c r="J23" s="16">
        <v>70</v>
      </c>
      <c r="K23" s="35">
        <v>60</v>
      </c>
      <c r="L23" s="16">
        <f>AVERAGE(563,612,475,480,555,529,580,465)</f>
        <v>532.375</v>
      </c>
      <c r="M23" s="16" t="s">
        <v>731</v>
      </c>
      <c r="N23" s="26">
        <f>AVERAGE(795,810,766,890,850,791,900,816,910)</f>
        <v>836.4444444444445</v>
      </c>
      <c r="O23" s="16" t="s">
        <v>781</v>
      </c>
      <c r="P23" s="26">
        <v>495</v>
      </c>
      <c r="Q23" s="16" t="s">
        <v>731</v>
      </c>
      <c r="R23" s="35" t="s">
        <v>33</v>
      </c>
      <c r="S23" s="26">
        <v>695</v>
      </c>
      <c r="T23" s="16" t="s">
        <v>704</v>
      </c>
      <c r="U23" s="35" t="s">
        <v>33</v>
      </c>
    </row>
    <row r="24" spans="1:21" ht="12" customHeight="1">
      <c r="A24" s="62" t="s">
        <v>543</v>
      </c>
      <c r="B24" s="96" t="s">
        <v>724</v>
      </c>
      <c r="C24" s="16">
        <v>50</v>
      </c>
      <c r="D24" s="19">
        <v>2</v>
      </c>
      <c r="E24" s="16">
        <f t="shared" si="0"/>
        <v>80</v>
      </c>
      <c r="F24" s="93" t="s">
        <v>220</v>
      </c>
      <c r="G24" s="63">
        <v>0.5</v>
      </c>
      <c r="H24" s="57">
        <v>0.29</v>
      </c>
      <c r="I24" s="16">
        <v>41</v>
      </c>
      <c r="J24" s="16">
        <v>66</v>
      </c>
      <c r="K24" s="35">
        <v>55</v>
      </c>
      <c r="L24" s="16">
        <f>AVERAGE(351,320,370,266,415,300,339)</f>
        <v>337.2857142857143</v>
      </c>
      <c r="M24" s="16" t="s">
        <v>781</v>
      </c>
      <c r="N24" s="26">
        <f>AVERAGE(516,449,685,581,390,415,505)</f>
        <v>505.85714285714283</v>
      </c>
      <c r="O24" s="16" t="s">
        <v>781</v>
      </c>
      <c r="P24" s="26">
        <v>350</v>
      </c>
      <c r="Q24" s="16" t="s">
        <v>781</v>
      </c>
      <c r="R24" s="35" t="s">
        <v>702</v>
      </c>
      <c r="S24" s="26">
        <v>550</v>
      </c>
      <c r="T24" s="16" t="s">
        <v>781</v>
      </c>
      <c r="U24" s="35" t="s">
        <v>39</v>
      </c>
    </row>
    <row r="25" spans="1:21" ht="12" customHeight="1">
      <c r="A25" s="64" t="s">
        <v>543</v>
      </c>
      <c r="B25" s="64" t="s">
        <v>712</v>
      </c>
      <c r="C25" s="28">
        <v>60</v>
      </c>
      <c r="D25" s="45">
        <v>2.8</v>
      </c>
      <c r="E25" s="28">
        <f t="shared" si="0"/>
        <v>96</v>
      </c>
      <c r="F25" s="94" t="s">
        <v>220</v>
      </c>
      <c r="G25" s="60">
        <v>0.27</v>
      </c>
      <c r="H25" s="61">
        <v>0.4</v>
      </c>
      <c r="I25" s="28">
        <v>62.3</v>
      </c>
      <c r="J25" s="28">
        <v>67.5</v>
      </c>
      <c r="K25" s="37">
        <v>55</v>
      </c>
      <c r="L25" s="28">
        <f>AVERAGE(339,355,500,440,475,406,495)</f>
        <v>430</v>
      </c>
      <c r="M25" s="28" t="s">
        <v>781</v>
      </c>
      <c r="N25" s="27">
        <f>AVERAGE(615,585,680,550,765,560,495,600,465,445)</f>
        <v>576</v>
      </c>
      <c r="O25" s="28" t="s">
        <v>767</v>
      </c>
      <c r="P25" s="27">
        <v>475</v>
      </c>
      <c r="Q25" s="28" t="s">
        <v>781</v>
      </c>
      <c r="R25" s="37" t="s">
        <v>41</v>
      </c>
      <c r="S25" s="27">
        <v>570</v>
      </c>
      <c r="T25" s="28" t="s">
        <v>781</v>
      </c>
      <c r="U25" s="37" t="s">
        <v>33</v>
      </c>
    </row>
    <row r="26" spans="1:21" ht="12" customHeight="1">
      <c r="A26" s="62" t="s">
        <v>543</v>
      </c>
      <c r="B26" s="96" t="s">
        <v>335</v>
      </c>
      <c r="C26" s="16">
        <v>80</v>
      </c>
      <c r="D26" s="19">
        <v>1.4</v>
      </c>
      <c r="E26" s="16">
        <f t="shared" si="0"/>
        <v>128</v>
      </c>
      <c r="F26" s="93" t="s">
        <v>220</v>
      </c>
      <c r="G26" s="63">
        <v>0.8</v>
      </c>
      <c r="H26" s="57">
        <v>0.7</v>
      </c>
      <c r="I26" s="16">
        <v>69</v>
      </c>
      <c r="J26" s="16">
        <v>75</v>
      </c>
      <c r="K26" s="35">
        <v>67</v>
      </c>
      <c r="L26" s="16">
        <f>AVERAGE(1150,951,1000,1275,940,995,1000,1175,950,948)</f>
        <v>1038.4</v>
      </c>
      <c r="M26" s="35" t="s">
        <v>704</v>
      </c>
      <c r="N26" s="16">
        <f>AVERAGE(1580,1335,1325,1617,1349,1385,1325,1550,1310)</f>
        <v>1419.5555555555557</v>
      </c>
      <c r="O26" s="16" t="s">
        <v>720</v>
      </c>
      <c r="P26" s="26">
        <v>1075</v>
      </c>
      <c r="Q26" s="16" t="s">
        <v>731</v>
      </c>
      <c r="R26" s="35" t="s">
        <v>33</v>
      </c>
      <c r="S26" s="26">
        <v>1975</v>
      </c>
      <c r="T26" s="16" t="s">
        <v>781</v>
      </c>
      <c r="U26" s="35" t="s">
        <v>34</v>
      </c>
    </row>
    <row r="27" spans="1:21" ht="12" customHeight="1">
      <c r="A27" s="62" t="s">
        <v>543</v>
      </c>
      <c r="B27" s="96" t="s">
        <v>726</v>
      </c>
      <c r="C27" s="16">
        <v>90</v>
      </c>
      <c r="D27" s="19">
        <v>2</v>
      </c>
      <c r="E27" s="16">
        <f>1.6*C27</f>
        <v>144</v>
      </c>
      <c r="F27" s="93" t="s">
        <v>220</v>
      </c>
      <c r="G27" s="63">
        <v>0.7</v>
      </c>
      <c r="H27" s="57">
        <v>0.52</v>
      </c>
      <c r="I27" s="16">
        <v>61</v>
      </c>
      <c r="J27" s="16">
        <v>69</v>
      </c>
      <c r="K27" s="35">
        <v>55</v>
      </c>
      <c r="L27" s="16">
        <f>AVERAGE(645,680,542,495,354,524,495)</f>
        <v>533.5714285714286</v>
      </c>
      <c r="M27" s="35" t="s">
        <v>781</v>
      </c>
      <c r="N27" s="16">
        <f>AVERAGE(650,879,775,571,699,865)</f>
        <v>739.8333333333334</v>
      </c>
      <c r="O27" s="16" t="s">
        <v>781</v>
      </c>
      <c r="P27" s="26">
        <v>595</v>
      </c>
      <c r="Q27" s="16" t="s">
        <v>781</v>
      </c>
      <c r="R27" s="35" t="s">
        <v>34</v>
      </c>
      <c r="S27" s="26">
        <v>725</v>
      </c>
      <c r="T27" s="16" t="s">
        <v>731</v>
      </c>
      <c r="U27" s="35" t="s">
        <v>195</v>
      </c>
    </row>
    <row r="28" spans="1:21" ht="12" customHeight="1">
      <c r="A28" s="62" t="s">
        <v>543</v>
      </c>
      <c r="B28" s="96" t="s">
        <v>747</v>
      </c>
      <c r="C28" s="16">
        <v>90</v>
      </c>
      <c r="D28" s="19">
        <v>2</v>
      </c>
      <c r="E28" s="16">
        <f t="shared" si="0"/>
        <v>144</v>
      </c>
      <c r="F28" s="93" t="s">
        <v>220</v>
      </c>
      <c r="G28" s="63">
        <v>0.7</v>
      </c>
      <c r="H28" s="57">
        <v>0.52</v>
      </c>
      <c r="I28" s="16">
        <v>59</v>
      </c>
      <c r="J28" s="16">
        <v>70</v>
      </c>
      <c r="K28" s="35">
        <v>60</v>
      </c>
      <c r="L28" s="16">
        <f>AVERAGE(1830)</f>
        <v>1830</v>
      </c>
      <c r="M28" s="35" t="s">
        <v>704</v>
      </c>
      <c r="N28" s="16">
        <f>AVERAGE(2150)</f>
        <v>2150</v>
      </c>
      <c r="O28" s="16" t="s">
        <v>704</v>
      </c>
      <c r="P28" s="26">
        <v>2300</v>
      </c>
      <c r="Q28" s="16" t="s">
        <v>781</v>
      </c>
      <c r="R28" s="35" t="s">
        <v>702</v>
      </c>
      <c r="S28" s="26">
        <v>1995</v>
      </c>
      <c r="T28" s="16" t="s">
        <v>704</v>
      </c>
      <c r="U28" s="35" t="s">
        <v>34</v>
      </c>
    </row>
    <row r="29" spans="1:21" ht="12" customHeight="1">
      <c r="A29" s="62" t="s">
        <v>543</v>
      </c>
      <c r="B29" s="96" t="s">
        <v>723</v>
      </c>
      <c r="C29" s="16">
        <v>90</v>
      </c>
      <c r="D29" s="19">
        <v>2.8</v>
      </c>
      <c r="E29" s="16">
        <f t="shared" si="0"/>
        <v>144</v>
      </c>
      <c r="F29" s="93" t="s">
        <v>220</v>
      </c>
      <c r="G29" s="52">
        <v>0.7</v>
      </c>
      <c r="H29" s="57">
        <v>0.45</v>
      </c>
      <c r="I29" s="16">
        <v>57</v>
      </c>
      <c r="J29" s="16">
        <v>67</v>
      </c>
      <c r="K29" s="35">
        <v>55</v>
      </c>
      <c r="L29" s="16">
        <f>AVERAGE(400,308,346,350,338)</f>
        <v>348.4</v>
      </c>
      <c r="M29" s="16" t="s">
        <v>781</v>
      </c>
      <c r="N29" s="26">
        <f>AVERAGE(546,525,435,420,561,490,565)</f>
        <v>506</v>
      </c>
      <c r="O29" s="16" t="s">
        <v>731</v>
      </c>
      <c r="P29" s="26">
        <v>345</v>
      </c>
      <c r="Q29" s="16" t="s">
        <v>781</v>
      </c>
      <c r="R29" s="35" t="s">
        <v>33</v>
      </c>
      <c r="S29" s="26">
        <v>450</v>
      </c>
      <c r="T29" s="16" t="s">
        <v>731</v>
      </c>
      <c r="U29" s="35" t="s">
        <v>713</v>
      </c>
    </row>
    <row r="30" spans="1:21" ht="12" customHeight="1">
      <c r="A30" s="62" t="s">
        <v>543</v>
      </c>
      <c r="B30" s="96" t="s">
        <v>775</v>
      </c>
      <c r="C30" s="16">
        <v>100</v>
      </c>
      <c r="D30" s="19">
        <v>2.8</v>
      </c>
      <c r="E30" s="16">
        <f t="shared" si="0"/>
        <v>160</v>
      </c>
      <c r="F30" s="93" t="s">
        <v>220</v>
      </c>
      <c r="G30" s="63">
        <v>0.45</v>
      </c>
      <c r="H30" s="57">
        <v>0.76</v>
      </c>
      <c r="I30" s="16">
        <v>104.5</v>
      </c>
      <c r="J30" s="16">
        <v>73</v>
      </c>
      <c r="K30" s="35">
        <v>60</v>
      </c>
      <c r="L30" s="16">
        <f>AVERAGE(1101,1200,1260,795,1080,1171)</f>
        <v>1101.1666666666667</v>
      </c>
      <c r="M30" s="35" t="s">
        <v>781</v>
      </c>
      <c r="N30" s="16">
        <f>AVERAGE(1455,1300,1456,1500,1500,1875,1436,1469)</f>
        <v>1498.875</v>
      </c>
      <c r="O30" s="16" t="s">
        <v>781</v>
      </c>
      <c r="P30" s="26">
        <v>1200</v>
      </c>
      <c r="Q30" s="16" t="s">
        <v>781</v>
      </c>
      <c r="R30" s="35" t="s">
        <v>702</v>
      </c>
      <c r="S30" s="26">
        <v>1195</v>
      </c>
      <c r="T30" s="16" t="s">
        <v>781</v>
      </c>
      <c r="U30" s="35" t="s">
        <v>34</v>
      </c>
    </row>
    <row r="31" spans="1:21" ht="12" customHeight="1">
      <c r="A31" s="62" t="s">
        <v>543</v>
      </c>
      <c r="B31" s="96" t="s">
        <v>700</v>
      </c>
      <c r="C31" s="16">
        <v>100</v>
      </c>
      <c r="D31" s="19">
        <v>4</v>
      </c>
      <c r="E31" s="16">
        <f t="shared" si="0"/>
        <v>160</v>
      </c>
      <c r="F31" s="93" t="s">
        <v>220</v>
      </c>
      <c r="G31" s="63" t="s">
        <v>20</v>
      </c>
      <c r="H31" s="57" t="s">
        <v>20</v>
      </c>
      <c r="I31" s="16" t="s">
        <v>20</v>
      </c>
      <c r="J31" s="16" t="s">
        <v>20</v>
      </c>
      <c r="K31" s="35">
        <v>55</v>
      </c>
      <c r="L31" s="16">
        <f>AVERAGE(350,355)</f>
        <v>352.5</v>
      </c>
      <c r="M31" s="16" t="s">
        <v>731</v>
      </c>
      <c r="N31" s="26">
        <f>AVERAGE(0)</f>
        <v>0</v>
      </c>
      <c r="O31" s="16" t="s">
        <v>20</v>
      </c>
      <c r="P31" s="26">
        <v>325</v>
      </c>
      <c r="Q31" s="16" t="s">
        <v>731</v>
      </c>
      <c r="R31" s="35" t="s">
        <v>34</v>
      </c>
      <c r="S31" s="26">
        <v>495</v>
      </c>
      <c r="T31" s="16" t="s">
        <v>781</v>
      </c>
      <c r="U31" s="35" t="s">
        <v>33</v>
      </c>
    </row>
    <row r="32" spans="1:21" ht="12" customHeight="1">
      <c r="A32" s="64" t="s">
        <v>543</v>
      </c>
      <c r="B32" s="64" t="s">
        <v>719</v>
      </c>
      <c r="C32" s="28">
        <v>135</v>
      </c>
      <c r="D32" s="45">
        <v>2.8</v>
      </c>
      <c r="E32" s="28">
        <f t="shared" si="0"/>
        <v>216</v>
      </c>
      <c r="F32" s="94" t="s">
        <v>220</v>
      </c>
      <c r="G32" s="60">
        <v>1.5</v>
      </c>
      <c r="H32" s="61">
        <v>0.73</v>
      </c>
      <c r="I32" s="28">
        <v>93</v>
      </c>
      <c r="J32" s="28">
        <v>67</v>
      </c>
      <c r="K32" s="37">
        <v>55</v>
      </c>
      <c r="L32" s="28">
        <f>AVERAGE(325,250,265,261,228,235,225)</f>
        <v>255.57142857142858</v>
      </c>
      <c r="M32" s="28" t="s">
        <v>781</v>
      </c>
      <c r="N32" s="27">
        <f>AVERAGE(404,315,250,350,405,290,266,315,440)</f>
        <v>337.22222222222223</v>
      </c>
      <c r="O32" s="28" t="s">
        <v>781</v>
      </c>
      <c r="P32" s="27">
        <v>205</v>
      </c>
      <c r="Q32" s="28" t="s">
        <v>781</v>
      </c>
      <c r="R32" s="37" t="s">
        <v>35</v>
      </c>
      <c r="S32" s="27">
        <v>350</v>
      </c>
      <c r="T32" s="28" t="s">
        <v>781</v>
      </c>
      <c r="U32" s="37" t="s">
        <v>33</v>
      </c>
    </row>
    <row r="33" spans="1:21" ht="12" customHeight="1">
      <c r="A33" s="62" t="s">
        <v>543</v>
      </c>
      <c r="B33" s="96" t="s">
        <v>706</v>
      </c>
      <c r="C33" s="16">
        <v>180</v>
      </c>
      <c r="D33" s="19">
        <v>2</v>
      </c>
      <c r="E33" s="16">
        <f t="shared" si="0"/>
        <v>288</v>
      </c>
      <c r="F33" s="93" t="s">
        <v>220</v>
      </c>
      <c r="G33" s="63">
        <v>1.5</v>
      </c>
      <c r="H33" s="57">
        <v>2.5</v>
      </c>
      <c r="I33" s="16">
        <v>175</v>
      </c>
      <c r="J33" s="16">
        <v>117</v>
      </c>
      <c r="K33" s="35">
        <v>100</v>
      </c>
      <c r="L33" s="16">
        <f>AVERAGE(3700,4000,3038)</f>
        <v>3579.3333333333335</v>
      </c>
      <c r="M33" s="35" t="s">
        <v>781</v>
      </c>
      <c r="N33" s="16">
        <f>AVERAGE(3995,4153,4650,4806)</f>
        <v>4401</v>
      </c>
      <c r="O33" s="16" t="s">
        <v>731</v>
      </c>
      <c r="P33" s="26">
        <v>3200</v>
      </c>
      <c r="Q33" s="16" t="s">
        <v>731</v>
      </c>
      <c r="R33" s="35" t="s">
        <v>195</v>
      </c>
      <c r="S33" s="26">
        <v>4595</v>
      </c>
      <c r="T33" s="16" t="s">
        <v>781</v>
      </c>
      <c r="U33" s="35" t="s">
        <v>34</v>
      </c>
    </row>
    <row r="34" spans="1:21" ht="12" customHeight="1">
      <c r="A34" s="62" t="s">
        <v>543</v>
      </c>
      <c r="B34" s="96" t="s">
        <v>707</v>
      </c>
      <c r="C34" s="16">
        <v>180</v>
      </c>
      <c r="D34" s="19">
        <v>2.8</v>
      </c>
      <c r="E34" s="16">
        <f>1.6*C34</f>
        <v>288</v>
      </c>
      <c r="F34" s="93" t="s">
        <v>220</v>
      </c>
      <c r="G34" s="63">
        <v>2</v>
      </c>
      <c r="H34" s="57">
        <v>0.97</v>
      </c>
      <c r="I34" s="16">
        <v>132</v>
      </c>
      <c r="J34" s="16">
        <v>76</v>
      </c>
      <c r="K34" s="35">
        <v>67</v>
      </c>
      <c r="L34" s="26">
        <f>AVERAGE(1000)</f>
        <v>1000</v>
      </c>
      <c r="M34" s="35" t="s">
        <v>781</v>
      </c>
      <c r="N34" s="26">
        <f>AVERAGE(3000,3360,2500)</f>
        <v>2953.3333333333335</v>
      </c>
      <c r="O34" s="16" t="s">
        <v>781</v>
      </c>
      <c r="P34" s="26" t="s">
        <v>20</v>
      </c>
      <c r="Q34" s="16" t="s">
        <v>20</v>
      </c>
      <c r="R34" s="35" t="s">
        <v>20</v>
      </c>
      <c r="S34" s="26">
        <v>2795</v>
      </c>
      <c r="T34" s="16" t="s">
        <v>781</v>
      </c>
      <c r="U34" s="35" t="s">
        <v>34</v>
      </c>
    </row>
    <row r="35" spans="1:21" ht="12" customHeight="1">
      <c r="A35" s="62" t="s">
        <v>543</v>
      </c>
      <c r="B35" s="96" t="s">
        <v>708</v>
      </c>
      <c r="C35" s="16">
        <v>180</v>
      </c>
      <c r="D35" s="19">
        <v>2.8</v>
      </c>
      <c r="E35" s="16">
        <f t="shared" si="0"/>
        <v>288</v>
      </c>
      <c r="F35" s="93" t="s">
        <v>220</v>
      </c>
      <c r="G35" s="63">
        <v>1.8</v>
      </c>
      <c r="H35" s="57">
        <v>0.81</v>
      </c>
      <c r="I35" s="16">
        <v>121</v>
      </c>
      <c r="J35" s="16">
        <v>75</v>
      </c>
      <c r="K35" s="35" t="s">
        <v>696</v>
      </c>
      <c r="L35" s="16">
        <f>AVERAGE(295,305,350,396,320,285,316,311,265,249)</f>
        <v>309.2</v>
      </c>
      <c r="M35" s="35" t="s">
        <v>781</v>
      </c>
      <c r="N35" s="16">
        <f>AVERAGE(499,584,495,551,355,338,355,462)</f>
        <v>454.875</v>
      </c>
      <c r="O35" s="16" t="s">
        <v>731</v>
      </c>
      <c r="P35" s="26">
        <v>470</v>
      </c>
      <c r="Q35" s="16" t="s">
        <v>781</v>
      </c>
      <c r="R35" s="35" t="s">
        <v>33</v>
      </c>
      <c r="S35" s="26">
        <v>510</v>
      </c>
      <c r="T35" s="16" t="s">
        <v>552</v>
      </c>
      <c r="U35" s="35" t="s">
        <v>33</v>
      </c>
    </row>
    <row r="36" spans="1:21" ht="12" customHeight="1">
      <c r="A36" s="62" t="s">
        <v>543</v>
      </c>
      <c r="B36" s="96" t="s">
        <v>727</v>
      </c>
      <c r="C36" s="16">
        <v>180</v>
      </c>
      <c r="D36" s="19">
        <v>3.4</v>
      </c>
      <c r="E36" s="16">
        <f t="shared" si="0"/>
        <v>288</v>
      </c>
      <c r="F36" s="93" t="s">
        <v>220</v>
      </c>
      <c r="G36" s="63">
        <v>2.5</v>
      </c>
      <c r="H36" s="57">
        <v>0.75</v>
      </c>
      <c r="I36" s="16">
        <v>133</v>
      </c>
      <c r="J36" s="16">
        <v>67</v>
      </c>
      <c r="K36" s="35">
        <v>60</v>
      </c>
      <c r="L36" s="16">
        <f>AVERAGE(761,750,750,800,700,751,745,710)</f>
        <v>745.875</v>
      </c>
      <c r="M36" s="35" t="s">
        <v>781</v>
      </c>
      <c r="N36" s="16">
        <f>AVERAGE(815,925,935,995)</f>
        <v>917.5</v>
      </c>
      <c r="O36" s="16" t="s">
        <v>781</v>
      </c>
      <c r="P36" s="26">
        <v>625</v>
      </c>
      <c r="Q36" s="16" t="s">
        <v>781</v>
      </c>
      <c r="R36" s="35" t="s">
        <v>41</v>
      </c>
      <c r="S36" s="26">
        <v>895</v>
      </c>
      <c r="T36" s="16" t="s">
        <v>731</v>
      </c>
      <c r="U36" s="35" t="s">
        <v>195</v>
      </c>
    </row>
    <row r="37" spans="1:21" ht="12" customHeight="1">
      <c r="A37" s="62" t="s">
        <v>543</v>
      </c>
      <c r="B37" s="96" t="s">
        <v>709</v>
      </c>
      <c r="C37" s="16">
        <v>180</v>
      </c>
      <c r="D37" s="19">
        <v>4</v>
      </c>
      <c r="E37" s="16">
        <f t="shared" si="0"/>
        <v>288</v>
      </c>
      <c r="F37" s="93" t="s">
        <v>220</v>
      </c>
      <c r="G37" s="63">
        <v>1.8</v>
      </c>
      <c r="H37" s="57">
        <v>0.55</v>
      </c>
      <c r="I37" s="16">
        <v>100</v>
      </c>
      <c r="J37" s="16">
        <v>65.5</v>
      </c>
      <c r="K37" s="35">
        <v>55</v>
      </c>
      <c r="L37" s="16">
        <f>AVERAGE(265,265,265,299,227,255,228,200)</f>
        <v>250.5</v>
      </c>
      <c r="M37" s="35" t="s">
        <v>781</v>
      </c>
      <c r="N37" s="16">
        <f>AVERAGE(358,302,400,290,305)</f>
        <v>331</v>
      </c>
      <c r="O37" s="16" t="s">
        <v>731</v>
      </c>
      <c r="P37" s="26">
        <v>300</v>
      </c>
      <c r="Q37" s="16" t="s">
        <v>781</v>
      </c>
      <c r="R37" s="35" t="s">
        <v>39</v>
      </c>
      <c r="S37" s="26">
        <v>450</v>
      </c>
      <c r="T37" s="16" t="s">
        <v>720</v>
      </c>
      <c r="U37" s="35" t="s">
        <v>195</v>
      </c>
    </row>
    <row r="38" spans="1:21" ht="12" customHeight="1">
      <c r="A38" s="62" t="s">
        <v>543</v>
      </c>
      <c r="B38" s="96" t="s">
        <v>710</v>
      </c>
      <c r="C38" s="16">
        <v>250</v>
      </c>
      <c r="D38" s="19">
        <v>4</v>
      </c>
      <c r="E38" s="16">
        <f t="shared" si="0"/>
        <v>400</v>
      </c>
      <c r="F38" s="93" t="s">
        <v>220</v>
      </c>
      <c r="G38" s="63">
        <v>4</v>
      </c>
      <c r="H38" s="57">
        <v>0.49</v>
      </c>
      <c r="I38" s="16" t="s">
        <v>20</v>
      </c>
      <c r="J38" s="16">
        <v>77.5</v>
      </c>
      <c r="K38" s="35" t="s">
        <v>714</v>
      </c>
      <c r="L38" s="16">
        <f>AVERAGE(400,243,330,399,285,380,283,375,449)</f>
        <v>349.3333333333333</v>
      </c>
      <c r="M38" s="35" t="s">
        <v>781</v>
      </c>
      <c r="N38" s="16">
        <f>AVERAGE(567,770,500)</f>
        <v>612.3333333333334</v>
      </c>
      <c r="O38" s="16" t="s">
        <v>536</v>
      </c>
      <c r="P38" s="26">
        <v>600</v>
      </c>
      <c r="Q38" s="16" t="s">
        <v>781</v>
      </c>
      <c r="R38" s="35" t="s">
        <v>38</v>
      </c>
      <c r="S38" s="26">
        <v>375</v>
      </c>
      <c r="T38" s="16" t="s">
        <v>731</v>
      </c>
      <c r="U38" s="35" t="s">
        <v>713</v>
      </c>
    </row>
    <row r="39" spans="1:21" ht="12" customHeight="1">
      <c r="A39" s="62" t="s">
        <v>543</v>
      </c>
      <c r="B39" s="96" t="s">
        <v>711</v>
      </c>
      <c r="C39" s="16">
        <v>280</v>
      </c>
      <c r="D39" s="19">
        <v>2.8</v>
      </c>
      <c r="E39" s="16">
        <f>1.6*C39</f>
        <v>448</v>
      </c>
      <c r="F39" s="93" t="s">
        <v>220</v>
      </c>
      <c r="G39" s="63" t="s">
        <v>20</v>
      </c>
      <c r="H39" s="57" t="s">
        <v>20</v>
      </c>
      <c r="I39" s="16" t="s">
        <v>20</v>
      </c>
      <c r="J39" s="16" t="s">
        <v>20</v>
      </c>
      <c r="K39" s="35" t="s">
        <v>20</v>
      </c>
      <c r="L39" s="16">
        <f>AVERAGE(2550,1899)</f>
        <v>2224.5</v>
      </c>
      <c r="M39" s="35" t="s">
        <v>552</v>
      </c>
      <c r="N39" s="16">
        <f>AVERAGE(2395,2000,1999,2500,2600,2338,2100,2299.95)</f>
        <v>2278.99375</v>
      </c>
      <c r="O39" s="16" t="s">
        <v>704</v>
      </c>
      <c r="P39" s="26">
        <v>3500</v>
      </c>
      <c r="Q39" s="16" t="s">
        <v>720</v>
      </c>
      <c r="R39" s="35" t="s">
        <v>715</v>
      </c>
      <c r="S39" s="26">
        <v>6795</v>
      </c>
      <c r="T39" s="16" t="s">
        <v>767</v>
      </c>
      <c r="U39" s="35" t="s">
        <v>34</v>
      </c>
    </row>
    <row r="40" spans="1:21" ht="12" customHeight="1">
      <c r="A40" s="64" t="s">
        <v>543</v>
      </c>
      <c r="B40" s="64" t="s">
        <v>777</v>
      </c>
      <c r="C40" s="28">
        <v>280</v>
      </c>
      <c r="D40" s="45">
        <v>4</v>
      </c>
      <c r="E40" s="28">
        <f t="shared" si="0"/>
        <v>448</v>
      </c>
      <c r="F40" s="94" t="s">
        <v>220</v>
      </c>
      <c r="G40" s="60">
        <v>1.7</v>
      </c>
      <c r="H40" s="61">
        <v>1.875</v>
      </c>
      <c r="I40" s="28">
        <v>208</v>
      </c>
      <c r="J40" s="28">
        <v>88</v>
      </c>
      <c r="K40" s="37">
        <v>77</v>
      </c>
      <c r="L40" s="27">
        <f>AVERAGE(0)</f>
        <v>0</v>
      </c>
      <c r="M40" s="28" t="s">
        <v>20</v>
      </c>
      <c r="N40" s="28">
        <f>AVERAGE(3499)</f>
        <v>3499</v>
      </c>
      <c r="O40" s="28" t="s">
        <v>704</v>
      </c>
      <c r="P40" s="27" t="s">
        <v>20</v>
      </c>
      <c r="Q40" s="28" t="s">
        <v>20</v>
      </c>
      <c r="R40" s="37" t="s">
        <v>20</v>
      </c>
      <c r="S40" s="27">
        <v>3995</v>
      </c>
      <c r="T40" s="28" t="s">
        <v>781</v>
      </c>
      <c r="U40" s="37" t="s">
        <v>34</v>
      </c>
    </row>
    <row r="41" spans="1:21" ht="12" customHeight="1">
      <c r="A41" s="62"/>
      <c r="B41" s="62"/>
      <c r="C41" s="16"/>
      <c r="D41" s="19"/>
      <c r="E41" s="16"/>
      <c r="F41" s="57"/>
      <c r="G41" s="48"/>
      <c r="H41" s="57"/>
      <c r="I41" s="16"/>
      <c r="J41" s="16"/>
      <c r="K41" s="16"/>
      <c r="L41" s="16"/>
      <c r="M41" s="16"/>
      <c r="N41" s="16"/>
      <c r="O41" s="16"/>
      <c r="P41" s="16"/>
      <c r="Q41" s="16"/>
      <c r="R41" s="16" t="s">
        <v>20</v>
      </c>
      <c r="S41" s="16"/>
      <c r="T41" s="16"/>
      <c r="U41" s="16"/>
    </row>
    <row r="42" spans="1:21" ht="12" customHeight="1">
      <c r="A42" s="62"/>
      <c r="B42" s="62"/>
      <c r="C42" s="16"/>
      <c r="D42" s="19"/>
      <c r="E42" s="16"/>
      <c r="F42" s="57"/>
      <c r="G42" s="48" t="s">
        <v>20</v>
      </c>
      <c r="H42" s="57" t="s">
        <v>20</v>
      </c>
      <c r="I42" s="16" t="s">
        <v>20</v>
      </c>
      <c r="J42" s="16" t="s">
        <v>20</v>
      </c>
      <c r="K42" s="16" t="s">
        <v>20</v>
      </c>
      <c r="L42" s="16" t="s">
        <v>20</v>
      </c>
      <c r="M42" s="16" t="s">
        <v>20</v>
      </c>
      <c r="N42" s="16" t="s">
        <v>20</v>
      </c>
      <c r="O42" s="16" t="s">
        <v>20</v>
      </c>
      <c r="P42" s="16" t="s">
        <v>20</v>
      </c>
      <c r="Q42" s="16" t="s">
        <v>20</v>
      </c>
      <c r="R42" s="16" t="s">
        <v>20</v>
      </c>
      <c r="S42" s="16" t="s">
        <v>20</v>
      </c>
      <c r="T42" s="16" t="s">
        <v>20</v>
      </c>
      <c r="U42" s="16" t="s">
        <v>20</v>
      </c>
    </row>
    <row r="43" spans="1:21" s="41" customFormat="1" ht="12" customHeight="1">
      <c r="A43" s="143" t="s">
        <v>638</v>
      </c>
      <c r="B43" s="74"/>
      <c r="C43" s="30"/>
      <c r="D43" s="75"/>
      <c r="E43" s="30"/>
      <c r="F43" s="78"/>
      <c r="G43" s="76" t="s">
        <v>20</v>
      </c>
      <c r="H43" s="77" t="s">
        <v>20</v>
      </c>
      <c r="I43" s="30" t="s">
        <v>20</v>
      </c>
      <c r="J43" s="30" t="s">
        <v>20</v>
      </c>
      <c r="K43" s="30" t="s">
        <v>20</v>
      </c>
      <c r="L43" s="30" t="s">
        <v>20</v>
      </c>
      <c r="M43" s="30" t="s">
        <v>20</v>
      </c>
      <c r="N43" s="30" t="s">
        <v>20</v>
      </c>
      <c r="O43" s="30" t="s">
        <v>20</v>
      </c>
      <c r="P43" s="30" t="s">
        <v>20</v>
      </c>
      <c r="Q43" s="30" t="s">
        <v>20</v>
      </c>
      <c r="R43" s="30" t="s">
        <v>20</v>
      </c>
      <c r="S43" s="30" t="s">
        <v>20</v>
      </c>
      <c r="T43" s="30" t="s">
        <v>20</v>
      </c>
      <c r="U43" s="30" t="s">
        <v>20</v>
      </c>
    </row>
    <row r="44" spans="1:21" ht="12" customHeight="1">
      <c r="A44" s="62" t="s">
        <v>32</v>
      </c>
      <c r="B44" s="47" t="s">
        <v>456</v>
      </c>
      <c r="C44" s="16">
        <v>6</v>
      </c>
      <c r="D44" s="19">
        <v>2.8</v>
      </c>
      <c r="E44" s="16">
        <f aca="true" t="shared" si="1" ref="E44:E67">1.6*C44</f>
        <v>9.600000000000001</v>
      </c>
      <c r="F44" s="93" t="s">
        <v>223</v>
      </c>
      <c r="G44" s="63">
        <v>0.25</v>
      </c>
      <c r="H44" s="57">
        <v>5.2</v>
      </c>
      <c r="I44" s="16">
        <v>160</v>
      </c>
      <c r="J44" s="16">
        <v>236</v>
      </c>
      <c r="K44" s="35" t="s">
        <v>203</v>
      </c>
      <c r="L44" s="16">
        <f>AVERAGE(0)</f>
        <v>0</v>
      </c>
      <c r="M44" s="35" t="s">
        <v>20</v>
      </c>
      <c r="N44" s="16">
        <f>AVERAGE(25992)</f>
        <v>25992</v>
      </c>
      <c r="O44" s="16" t="s">
        <v>453</v>
      </c>
      <c r="P44" s="26" t="s">
        <v>20</v>
      </c>
      <c r="Q44" s="16" t="s">
        <v>20</v>
      </c>
      <c r="R44" s="35" t="s">
        <v>20</v>
      </c>
      <c r="S44" s="26" t="s">
        <v>20</v>
      </c>
      <c r="T44" s="16" t="s">
        <v>20</v>
      </c>
      <c r="U44" s="35" t="s">
        <v>20</v>
      </c>
    </row>
    <row r="45" spans="1:21" ht="12" customHeight="1">
      <c r="A45" s="62" t="s">
        <v>32</v>
      </c>
      <c r="B45" s="47" t="s">
        <v>465</v>
      </c>
      <c r="C45" s="16">
        <v>8</v>
      </c>
      <c r="D45" s="19">
        <v>2.8</v>
      </c>
      <c r="E45" s="16">
        <f t="shared" si="1"/>
        <v>12.8</v>
      </c>
      <c r="F45" s="93" t="s">
        <v>223</v>
      </c>
      <c r="G45" s="63">
        <v>0.3</v>
      </c>
      <c r="H45" s="57">
        <v>1.1</v>
      </c>
      <c r="I45" s="16">
        <v>128</v>
      </c>
      <c r="J45" s="16">
        <v>1234</v>
      </c>
      <c r="K45" s="35" t="s">
        <v>203</v>
      </c>
      <c r="L45" s="16">
        <f>AVERAGE(1395,1200)</f>
        <v>1297.5</v>
      </c>
      <c r="M45" s="35" t="s">
        <v>731</v>
      </c>
      <c r="N45" s="16">
        <f>AVERAGE(2119,2100,2299,1699)</f>
        <v>2054.25</v>
      </c>
      <c r="O45" s="16" t="s">
        <v>661</v>
      </c>
      <c r="P45" s="26">
        <v>1500</v>
      </c>
      <c r="Q45" s="16" t="s">
        <v>601</v>
      </c>
      <c r="R45" s="35" t="s">
        <v>39</v>
      </c>
      <c r="S45" s="26">
        <v>2900</v>
      </c>
      <c r="T45" s="16" t="s">
        <v>731</v>
      </c>
      <c r="U45" s="35" t="s">
        <v>39</v>
      </c>
    </row>
    <row r="46" spans="1:21" ht="12" customHeight="1">
      <c r="A46" s="62" t="s">
        <v>32</v>
      </c>
      <c r="B46" s="62" t="s">
        <v>222</v>
      </c>
      <c r="C46" s="16">
        <v>15</v>
      </c>
      <c r="D46" s="19">
        <v>3.5</v>
      </c>
      <c r="E46" s="16">
        <f t="shared" si="1"/>
        <v>24</v>
      </c>
      <c r="F46" s="93" t="s">
        <v>223</v>
      </c>
      <c r="G46" s="63">
        <v>0.3</v>
      </c>
      <c r="H46" s="57">
        <v>0.63</v>
      </c>
      <c r="I46" s="16">
        <v>83.5</v>
      </c>
      <c r="J46" s="16">
        <v>90</v>
      </c>
      <c r="K46" s="35">
        <v>94</v>
      </c>
      <c r="L46" s="16">
        <f>AVERAGE(725,610,775,710,749,725,631,650)</f>
        <v>696.875</v>
      </c>
      <c r="M46" s="35" t="s">
        <v>781</v>
      </c>
      <c r="N46" s="16">
        <f>AVERAGE(799,828,800,932,1051,750,780,825)</f>
        <v>845.625</v>
      </c>
      <c r="O46" s="16" t="s">
        <v>731</v>
      </c>
      <c r="P46" s="26">
        <v>1099</v>
      </c>
      <c r="Q46" s="16" t="s">
        <v>541</v>
      </c>
      <c r="R46" s="35" t="s">
        <v>38</v>
      </c>
      <c r="S46" s="26">
        <v>1449</v>
      </c>
      <c r="T46" s="16" t="s">
        <v>541</v>
      </c>
      <c r="U46" s="35" t="s">
        <v>38</v>
      </c>
    </row>
    <row r="47" spans="1:21" ht="12" customHeight="1">
      <c r="A47" s="62" t="s">
        <v>32</v>
      </c>
      <c r="B47" s="62" t="s">
        <v>224</v>
      </c>
      <c r="C47" s="16">
        <v>18</v>
      </c>
      <c r="D47" s="19">
        <v>3.5</v>
      </c>
      <c r="E47" s="16">
        <f t="shared" si="1"/>
        <v>28.8</v>
      </c>
      <c r="F47" s="93" t="s">
        <v>223</v>
      </c>
      <c r="G47" s="63">
        <v>0.25</v>
      </c>
      <c r="H47" s="57">
        <v>0.35</v>
      </c>
      <c r="I47" s="16">
        <v>61.5</v>
      </c>
      <c r="J47" s="16">
        <v>75</v>
      </c>
      <c r="K47" s="35">
        <v>72</v>
      </c>
      <c r="L47" s="16">
        <f>AVERAGE(385,256,359,365,320,450,312)</f>
        <v>349.57142857142856</v>
      </c>
      <c r="M47" s="35" t="s">
        <v>731</v>
      </c>
      <c r="N47" s="16">
        <f>AVERAGE(429,679,461,451,850,533,530)</f>
        <v>561.8571428571429</v>
      </c>
      <c r="O47" s="16" t="s">
        <v>466</v>
      </c>
      <c r="P47" s="26">
        <v>616</v>
      </c>
      <c r="Q47" s="16" t="s">
        <v>781</v>
      </c>
      <c r="R47" s="35" t="s">
        <v>35</v>
      </c>
      <c r="S47" s="26">
        <v>751</v>
      </c>
      <c r="T47" s="16" t="s">
        <v>781</v>
      </c>
      <c r="U47" s="35" t="s">
        <v>35</v>
      </c>
    </row>
    <row r="48" spans="1:21" ht="12" customHeight="1">
      <c r="A48" s="62" t="s">
        <v>32</v>
      </c>
      <c r="B48" s="62" t="s">
        <v>225</v>
      </c>
      <c r="C48" s="16">
        <v>20</v>
      </c>
      <c r="D48" s="19">
        <v>2.8</v>
      </c>
      <c r="E48" s="16">
        <f>1.6*C48</f>
        <v>32</v>
      </c>
      <c r="F48" s="93" t="s">
        <v>223</v>
      </c>
      <c r="G48" s="63">
        <v>0.25</v>
      </c>
      <c r="H48" s="57">
        <v>0.26</v>
      </c>
      <c r="I48" s="16">
        <v>42.5</v>
      </c>
      <c r="J48" s="16">
        <v>69</v>
      </c>
      <c r="K48" s="35">
        <v>62</v>
      </c>
      <c r="L48" s="16">
        <f>AVERAGE(265,281,276,231,266,286,250,269)</f>
        <v>265.5</v>
      </c>
      <c r="M48" s="35" t="s">
        <v>781</v>
      </c>
      <c r="N48" s="16">
        <f>AVERAGE(305,380,405,305,405,305,343,375,369,428)</f>
        <v>362</v>
      </c>
      <c r="O48" s="16" t="s">
        <v>781</v>
      </c>
      <c r="P48" s="26">
        <v>450</v>
      </c>
      <c r="Q48" s="16" t="s">
        <v>781</v>
      </c>
      <c r="R48" s="35" t="s">
        <v>35</v>
      </c>
      <c r="S48" s="26">
        <v>570</v>
      </c>
      <c r="T48" s="16" t="s">
        <v>667</v>
      </c>
      <c r="U48" s="35" t="s">
        <v>35</v>
      </c>
    </row>
    <row r="49" spans="1:21" ht="12" customHeight="1">
      <c r="A49" s="64" t="s">
        <v>32</v>
      </c>
      <c r="B49" s="64" t="s">
        <v>647</v>
      </c>
      <c r="C49" s="28">
        <v>20</v>
      </c>
      <c r="D49" s="45">
        <v>3.5</v>
      </c>
      <c r="E49" s="28">
        <f t="shared" si="1"/>
        <v>32</v>
      </c>
      <c r="F49" s="94" t="s">
        <v>249</v>
      </c>
      <c r="G49" s="60">
        <v>0.3</v>
      </c>
      <c r="H49" s="61">
        <v>0.235</v>
      </c>
      <c r="I49" s="28">
        <v>40.5</v>
      </c>
      <c r="J49" s="28">
        <v>63.5</v>
      </c>
      <c r="K49" s="37">
        <v>52</v>
      </c>
      <c r="L49" s="28">
        <f>AVERAGE(220)</f>
        <v>220</v>
      </c>
      <c r="M49" s="37" t="s">
        <v>731</v>
      </c>
      <c r="N49" s="28">
        <f>AVERAGE(0)</f>
        <v>0</v>
      </c>
      <c r="O49" s="28" t="s">
        <v>20</v>
      </c>
      <c r="P49" s="27">
        <v>275</v>
      </c>
      <c r="Q49" s="28" t="s">
        <v>781</v>
      </c>
      <c r="R49" s="37" t="s">
        <v>35</v>
      </c>
      <c r="S49" s="27" t="s">
        <v>20</v>
      </c>
      <c r="T49" s="28" t="s">
        <v>20</v>
      </c>
      <c r="U49" s="37" t="s">
        <v>20</v>
      </c>
    </row>
    <row r="50" spans="1:21" ht="12" customHeight="1">
      <c r="A50" s="62" t="s">
        <v>32</v>
      </c>
      <c r="B50" s="47" t="s">
        <v>378</v>
      </c>
      <c r="C50" s="16">
        <v>28</v>
      </c>
      <c r="D50" s="19">
        <v>4</v>
      </c>
      <c r="E50" s="16">
        <f t="shared" si="1"/>
        <v>44.800000000000004</v>
      </c>
      <c r="F50" s="93" t="s">
        <v>249</v>
      </c>
      <c r="G50" s="63">
        <v>0.3</v>
      </c>
      <c r="H50" s="57">
        <v>0.41</v>
      </c>
      <c r="I50" s="16" t="s">
        <v>20</v>
      </c>
      <c r="J50" s="16">
        <v>78</v>
      </c>
      <c r="K50" s="35">
        <v>72</v>
      </c>
      <c r="L50" s="16">
        <f>AVERAGE(405,449,432,490,455,355,409,401,429)</f>
        <v>425</v>
      </c>
      <c r="M50" s="35" t="s">
        <v>720</v>
      </c>
      <c r="N50" s="16">
        <f>AVERAGE(340,810,725,745,517,799)</f>
        <v>656</v>
      </c>
      <c r="O50" s="16" t="s">
        <v>667</v>
      </c>
      <c r="P50" s="26">
        <v>430</v>
      </c>
      <c r="Q50" s="16" t="s">
        <v>781</v>
      </c>
      <c r="R50" s="35" t="s">
        <v>35</v>
      </c>
      <c r="S50" s="26">
        <v>800</v>
      </c>
      <c r="T50" s="16" t="s">
        <v>781</v>
      </c>
      <c r="U50" s="35" t="s">
        <v>38</v>
      </c>
    </row>
    <row r="51" spans="1:21" ht="12" customHeight="1">
      <c r="A51" s="62" t="s">
        <v>32</v>
      </c>
      <c r="B51" s="47" t="s">
        <v>243</v>
      </c>
      <c r="C51" s="16">
        <v>35</v>
      </c>
      <c r="D51" s="19">
        <v>1.4</v>
      </c>
      <c r="E51" s="16">
        <f t="shared" si="1"/>
        <v>56</v>
      </c>
      <c r="F51" s="93" t="s">
        <v>223</v>
      </c>
      <c r="G51" s="63">
        <v>0.3</v>
      </c>
      <c r="H51" s="57">
        <v>0.41</v>
      </c>
      <c r="I51" s="16">
        <v>62</v>
      </c>
      <c r="J51" s="16">
        <v>67.5</v>
      </c>
      <c r="K51" s="35">
        <v>52</v>
      </c>
      <c r="L51" s="16">
        <f>AVERAGE(402,361,400,350,392,305,384,375,355,367,366)</f>
        <v>368.8181818181818</v>
      </c>
      <c r="M51" s="35" t="s">
        <v>731</v>
      </c>
      <c r="N51" s="16">
        <f>AVERAGE(659,407,500,609,640,599,589,695,650,600)</f>
        <v>594.8</v>
      </c>
      <c r="O51" s="16" t="s">
        <v>781</v>
      </c>
      <c r="P51" s="26">
        <v>616</v>
      </c>
      <c r="Q51" s="16" t="s">
        <v>781</v>
      </c>
      <c r="R51" s="35" t="s">
        <v>35</v>
      </c>
      <c r="S51" s="26">
        <v>1035</v>
      </c>
      <c r="T51" s="16" t="s">
        <v>781</v>
      </c>
      <c r="U51" s="35" t="s">
        <v>35</v>
      </c>
    </row>
    <row r="52" spans="1:21" ht="12" customHeight="1">
      <c r="A52" s="64" t="s">
        <v>32</v>
      </c>
      <c r="B52" s="64" t="s">
        <v>600</v>
      </c>
      <c r="C52" s="28">
        <v>35</v>
      </c>
      <c r="D52" s="45">
        <v>2.8</v>
      </c>
      <c r="E52" s="28">
        <f t="shared" si="1"/>
        <v>56</v>
      </c>
      <c r="F52" s="94" t="s">
        <v>249</v>
      </c>
      <c r="G52" s="60">
        <v>0.3</v>
      </c>
      <c r="H52" s="61">
        <v>0.32</v>
      </c>
      <c r="I52" s="28">
        <v>66</v>
      </c>
      <c r="J52" s="28">
        <v>62</v>
      </c>
      <c r="K52" s="37">
        <v>52</v>
      </c>
      <c r="L52" s="28">
        <f>AVERAGE(243,374,345,275,234,294,255,285,299)</f>
        <v>289.3333333333333</v>
      </c>
      <c r="M52" s="28" t="s">
        <v>731</v>
      </c>
      <c r="N52" s="27">
        <f>AVERAGE(525,458,375,325,360,445,419)</f>
        <v>415.2857142857143</v>
      </c>
      <c r="O52" s="28" t="s">
        <v>667</v>
      </c>
      <c r="P52" s="27">
        <v>365</v>
      </c>
      <c r="Q52" s="28" t="s">
        <v>781</v>
      </c>
      <c r="R52" s="37" t="s">
        <v>35</v>
      </c>
      <c r="S52" s="27">
        <v>375</v>
      </c>
      <c r="T52" s="28" t="s">
        <v>781</v>
      </c>
      <c r="U52" s="37" t="s">
        <v>33</v>
      </c>
    </row>
    <row r="53" spans="1:21" ht="12" customHeight="1">
      <c r="A53" s="62" t="s">
        <v>32</v>
      </c>
      <c r="B53" s="47" t="s">
        <v>432</v>
      </c>
      <c r="C53" s="16">
        <v>50</v>
      </c>
      <c r="D53" s="19">
        <v>1.2</v>
      </c>
      <c r="E53" s="16">
        <f t="shared" si="1"/>
        <v>80</v>
      </c>
      <c r="F53" s="93" t="s">
        <v>223</v>
      </c>
      <c r="G53" s="63">
        <v>0.5</v>
      </c>
      <c r="H53" s="57">
        <v>0.41</v>
      </c>
      <c r="I53" s="16">
        <v>49.5</v>
      </c>
      <c r="J53" s="16">
        <v>72</v>
      </c>
      <c r="K53" s="35">
        <v>52</v>
      </c>
      <c r="L53" s="16">
        <f>AVERAGE(398,349,376,324,350,305,335,422,344)</f>
        <v>355.8888888888889</v>
      </c>
      <c r="M53" s="35" t="s">
        <v>781</v>
      </c>
      <c r="N53" s="16">
        <f>AVERAGE(550,500,500,497,477,466,440,458,536)</f>
        <v>491.55555555555554</v>
      </c>
      <c r="O53" s="35" t="s">
        <v>781</v>
      </c>
      <c r="P53" s="26">
        <v>395</v>
      </c>
      <c r="Q53" s="16" t="s">
        <v>781</v>
      </c>
      <c r="R53" s="35" t="s">
        <v>33</v>
      </c>
      <c r="S53" s="26">
        <v>445</v>
      </c>
      <c r="T53" s="16" t="s">
        <v>781</v>
      </c>
      <c r="U53" s="35" t="s">
        <v>33</v>
      </c>
    </row>
    <row r="54" spans="1:21" ht="12" customHeight="1">
      <c r="A54" s="64" t="s">
        <v>32</v>
      </c>
      <c r="B54" s="64" t="s">
        <v>513</v>
      </c>
      <c r="C54" s="28">
        <v>58</v>
      </c>
      <c r="D54" s="45">
        <v>1.2</v>
      </c>
      <c r="E54" s="28">
        <f t="shared" si="1"/>
        <v>92.80000000000001</v>
      </c>
      <c r="F54" s="94" t="s">
        <v>249</v>
      </c>
      <c r="G54" s="60">
        <v>0.5</v>
      </c>
      <c r="H54" s="61">
        <v>0.465</v>
      </c>
      <c r="I54" s="28">
        <v>51.5</v>
      </c>
      <c r="J54" s="28">
        <v>74</v>
      </c>
      <c r="K54" s="37">
        <v>52</v>
      </c>
      <c r="L54" s="28">
        <f>AVERAGE(2325,2300,2099,2000,2000,1856,1525)</f>
        <v>2015</v>
      </c>
      <c r="M54" s="28" t="s">
        <v>731</v>
      </c>
      <c r="N54" s="27">
        <f>AVERAGE(3365,3311,2600,3250,3399,2915,3800,3800,2750)</f>
        <v>3243.3333333333335</v>
      </c>
      <c r="O54" s="28" t="s">
        <v>781</v>
      </c>
      <c r="P54" s="27">
        <v>3000</v>
      </c>
      <c r="Q54" s="28" t="s">
        <v>731</v>
      </c>
      <c r="R54" s="37" t="s">
        <v>39</v>
      </c>
      <c r="S54" s="27">
        <v>3320</v>
      </c>
      <c r="T54" s="28" t="s">
        <v>661</v>
      </c>
      <c r="U54" s="37" t="s">
        <v>649</v>
      </c>
    </row>
    <row r="55" spans="1:21" ht="12" customHeight="1">
      <c r="A55" s="62" t="s">
        <v>32</v>
      </c>
      <c r="B55" s="62" t="s">
        <v>226</v>
      </c>
      <c r="C55" s="16">
        <v>85</v>
      </c>
      <c r="D55" s="19">
        <v>1.4</v>
      </c>
      <c r="E55" s="16">
        <f t="shared" si="1"/>
        <v>136</v>
      </c>
      <c r="F55" s="93" t="s">
        <v>223</v>
      </c>
      <c r="G55" s="63">
        <v>0.85</v>
      </c>
      <c r="H55" s="57">
        <v>0.62</v>
      </c>
      <c r="I55" s="16">
        <v>64.5</v>
      </c>
      <c r="J55" s="16">
        <v>80.5</v>
      </c>
      <c r="K55" s="35">
        <v>72</v>
      </c>
      <c r="L55" s="16">
        <f>AVERAGE(560,416,456,504,530,399,438,480)</f>
        <v>472.875</v>
      </c>
      <c r="M55" s="35" t="s">
        <v>781</v>
      </c>
      <c r="N55" s="16">
        <f>AVERAGE(589,635,628,720,675,780,651)</f>
        <v>668.2857142857143</v>
      </c>
      <c r="O55" s="16" t="s">
        <v>781</v>
      </c>
      <c r="P55" s="26">
        <v>645</v>
      </c>
      <c r="Q55" s="16" t="s">
        <v>781</v>
      </c>
      <c r="R55" s="35" t="s">
        <v>35</v>
      </c>
      <c r="S55" s="26">
        <v>950</v>
      </c>
      <c r="T55" s="16" t="s">
        <v>667</v>
      </c>
      <c r="U55" s="35" t="s">
        <v>39</v>
      </c>
    </row>
    <row r="56" spans="1:21" ht="12" customHeight="1">
      <c r="A56" s="62" t="s">
        <v>32</v>
      </c>
      <c r="B56" s="62" t="s">
        <v>227</v>
      </c>
      <c r="C56" s="16">
        <v>105</v>
      </c>
      <c r="D56" s="19">
        <v>1.8</v>
      </c>
      <c r="E56" s="16">
        <f t="shared" si="1"/>
        <v>168</v>
      </c>
      <c r="F56" s="93" t="s">
        <v>223</v>
      </c>
      <c r="G56" s="63">
        <v>1</v>
      </c>
      <c r="H56" s="57">
        <v>0.58</v>
      </c>
      <c r="I56" s="16">
        <v>80.5</v>
      </c>
      <c r="J56" s="16">
        <v>78.5</v>
      </c>
      <c r="K56" s="35">
        <v>62</v>
      </c>
      <c r="L56" s="16">
        <f>AVERAGE(355,441,380,365,300,358,380,330,345)</f>
        <v>361.55555555555554</v>
      </c>
      <c r="M56" s="35" t="s">
        <v>781</v>
      </c>
      <c r="N56" s="16">
        <f>AVERAGE(500,455,528,406,440,460,445,449,560)</f>
        <v>471.44444444444446</v>
      </c>
      <c r="O56" s="16" t="s">
        <v>781</v>
      </c>
      <c r="P56" s="26">
        <v>550</v>
      </c>
      <c r="Q56" s="16" t="s">
        <v>720</v>
      </c>
      <c r="R56" s="35" t="s">
        <v>39</v>
      </c>
      <c r="S56" s="26">
        <v>735</v>
      </c>
      <c r="T56" s="16" t="s">
        <v>781</v>
      </c>
      <c r="U56" s="35" t="s">
        <v>35</v>
      </c>
    </row>
    <row r="57" spans="1:21" ht="12" customHeight="1">
      <c r="A57" s="62" t="s">
        <v>32</v>
      </c>
      <c r="B57" s="62" t="s">
        <v>756</v>
      </c>
      <c r="C57" s="16">
        <v>105</v>
      </c>
      <c r="D57" s="19">
        <v>2.5</v>
      </c>
      <c r="E57" s="16">
        <f>1.6*C57</f>
        <v>168</v>
      </c>
      <c r="F57" s="93" t="s">
        <v>249</v>
      </c>
      <c r="G57" s="63">
        <v>1</v>
      </c>
      <c r="H57" s="57">
        <v>0.435</v>
      </c>
      <c r="I57" s="16">
        <v>66</v>
      </c>
      <c r="J57" s="16">
        <v>68.5</v>
      </c>
      <c r="K57" s="35">
        <v>52</v>
      </c>
      <c r="L57" s="16">
        <f>AVERAGE(111,153,152,133,153,185,183,140,209,136)</f>
        <v>155.5</v>
      </c>
      <c r="M57" s="35" t="s">
        <v>781</v>
      </c>
      <c r="N57" s="16">
        <f>AVERAGE(208,239,270,163,275,228,295,325,230,200,272)</f>
        <v>245.9090909090909</v>
      </c>
      <c r="O57" s="16" t="s">
        <v>781</v>
      </c>
      <c r="P57" s="26">
        <v>100</v>
      </c>
      <c r="Q57" s="16" t="s">
        <v>781</v>
      </c>
      <c r="R57" s="35" t="s">
        <v>35</v>
      </c>
      <c r="S57" s="26">
        <v>165</v>
      </c>
      <c r="T57" s="16" t="s">
        <v>781</v>
      </c>
      <c r="U57" s="35" t="s">
        <v>33</v>
      </c>
    </row>
    <row r="58" spans="1:21" ht="12" customHeight="1">
      <c r="A58" s="64" t="s">
        <v>32</v>
      </c>
      <c r="B58" s="64" t="s">
        <v>343</v>
      </c>
      <c r="C58" s="28">
        <v>135</v>
      </c>
      <c r="D58" s="45">
        <v>2</v>
      </c>
      <c r="E58" s="28">
        <f t="shared" si="1"/>
        <v>216</v>
      </c>
      <c r="F58" s="94" t="s">
        <v>223</v>
      </c>
      <c r="G58" s="60">
        <v>1.3</v>
      </c>
      <c r="H58" s="61">
        <v>0.86</v>
      </c>
      <c r="I58" s="28">
        <v>93.5</v>
      </c>
      <c r="J58" s="28">
        <v>80.5</v>
      </c>
      <c r="K58" s="37">
        <v>72</v>
      </c>
      <c r="L58" s="28">
        <f>AVERAGE(308,315,300,385,375,422,290,323,300,324)</f>
        <v>334.2</v>
      </c>
      <c r="M58" s="28" t="s">
        <v>661</v>
      </c>
      <c r="N58" s="27">
        <f>AVERAGE(770,650,548,600,469,568)</f>
        <v>600.8333333333334</v>
      </c>
      <c r="O58" s="28" t="s">
        <v>781</v>
      </c>
      <c r="P58" s="27">
        <v>625</v>
      </c>
      <c r="Q58" s="28" t="s">
        <v>781</v>
      </c>
      <c r="R58" s="37" t="s">
        <v>34</v>
      </c>
      <c r="S58" s="27">
        <v>770</v>
      </c>
      <c r="T58" s="28" t="s">
        <v>781</v>
      </c>
      <c r="U58" s="37" t="s">
        <v>38</v>
      </c>
    </row>
    <row r="59" spans="1:21" ht="12" customHeight="1">
      <c r="A59" s="62" t="s">
        <v>32</v>
      </c>
      <c r="B59" s="62" t="s">
        <v>250</v>
      </c>
      <c r="C59" s="16">
        <v>200</v>
      </c>
      <c r="D59" s="19">
        <v>2</v>
      </c>
      <c r="E59" s="16">
        <f t="shared" si="1"/>
        <v>320</v>
      </c>
      <c r="F59" s="93" t="s">
        <v>223</v>
      </c>
      <c r="G59" s="63">
        <v>2.4</v>
      </c>
      <c r="H59" s="57">
        <v>2.4</v>
      </c>
      <c r="I59" s="16">
        <v>222</v>
      </c>
      <c r="J59" s="16">
        <v>138</v>
      </c>
      <c r="K59" s="35">
        <v>122</v>
      </c>
      <c r="L59" s="16">
        <f>AVERAGE(1250,1298,1175,1028,1199,1449,1076,1200,1176)</f>
        <v>1205.6666666666667</v>
      </c>
      <c r="M59" s="16" t="s">
        <v>523</v>
      </c>
      <c r="N59" s="26">
        <f>AVERAGE(2239,2000,1550,1527,1495,1800,1900)</f>
        <v>1787.2857142857142</v>
      </c>
      <c r="O59" s="16" t="s">
        <v>552</v>
      </c>
      <c r="P59" s="26">
        <v>2200</v>
      </c>
      <c r="Q59" s="16" t="s">
        <v>781</v>
      </c>
      <c r="R59" s="35" t="s">
        <v>35</v>
      </c>
      <c r="S59" s="26" t="s">
        <v>20</v>
      </c>
      <c r="T59" s="16" t="s">
        <v>20</v>
      </c>
      <c r="U59" s="35" t="s">
        <v>20</v>
      </c>
    </row>
    <row r="60" spans="1:21" ht="12" customHeight="1">
      <c r="A60" s="62" t="s">
        <v>32</v>
      </c>
      <c r="B60" s="62" t="s">
        <v>762</v>
      </c>
      <c r="C60" s="16">
        <v>300</v>
      </c>
      <c r="D60" s="19">
        <v>2</v>
      </c>
      <c r="E60" s="16">
        <f t="shared" si="1"/>
        <v>480</v>
      </c>
      <c r="F60" s="93" t="s">
        <v>223</v>
      </c>
      <c r="G60" s="63" t="s">
        <v>200</v>
      </c>
      <c r="H60" s="57">
        <v>7.1</v>
      </c>
      <c r="I60" s="16">
        <v>331</v>
      </c>
      <c r="J60" s="16">
        <v>183</v>
      </c>
      <c r="K60" s="35" t="s">
        <v>78</v>
      </c>
      <c r="L60" s="16">
        <f>AVERAGE(0)</f>
        <v>0</v>
      </c>
      <c r="M60" s="16" t="s">
        <v>20</v>
      </c>
      <c r="N60" s="26">
        <f>AVERAGE(4045)</f>
        <v>4045</v>
      </c>
      <c r="O60" s="16" t="s">
        <v>466</v>
      </c>
      <c r="P60" s="26">
        <v>10000</v>
      </c>
      <c r="Q60" s="16" t="s">
        <v>462</v>
      </c>
      <c r="R60" s="35" t="s">
        <v>38</v>
      </c>
      <c r="S60" s="26" t="s">
        <v>20</v>
      </c>
      <c r="T60" s="16" t="s">
        <v>20</v>
      </c>
      <c r="U60" s="35" t="s">
        <v>20</v>
      </c>
    </row>
    <row r="61" spans="1:21" ht="12" customHeight="1">
      <c r="A61" s="64" t="s">
        <v>32</v>
      </c>
      <c r="B61" s="64" t="s">
        <v>763</v>
      </c>
      <c r="C61" s="28">
        <v>300</v>
      </c>
      <c r="D61" s="45">
        <v>2.8</v>
      </c>
      <c r="E61" s="28">
        <f t="shared" si="1"/>
        <v>480</v>
      </c>
      <c r="F61" s="94" t="s">
        <v>223</v>
      </c>
      <c r="G61" s="60">
        <v>3</v>
      </c>
      <c r="H61" s="61">
        <v>2.5</v>
      </c>
      <c r="I61" s="28">
        <v>241</v>
      </c>
      <c r="J61" s="28">
        <v>138</v>
      </c>
      <c r="K61" s="37" t="s">
        <v>421</v>
      </c>
      <c r="L61" s="28">
        <f>AVERAGE(1100,918,865,750,845,835,850,815)</f>
        <v>872.25</v>
      </c>
      <c r="M61" s="28" t="s">
        <v>781</v>
      </c>
      <c r="N61" s="27">
        <f>AVERAGE(1175,1625,1798,1995,1875)</f>
        <v>1693.6</v>
      </c>
      <c r="O61" s="28" t="s">
        <v>731</v>
      </c>
      <c r="P61" s="27">
        <v>1780</v>
      </c>
      <c r="Q61" s="28" t="s">
        <v>720</v>
      </c>
      <c r="R61" s="37" t="s">
        <v>35</v>
      </c>
      <c r="S61" s="27">
        <v>1540</v>
      </c>
      <c r="T61" s="28" t="s">
        <v>601</v>
      </c>
      <c r="U61" s="37" t="s">
        <v>35</v>
      </c>
    </row>
    <row r="62" spans="1:21" ht="12" customHeight="1">
      <c r="A62" s="62" t="s">
        <v>32</v>
      </c>
      <c r="B62" s="62" t="s">
        <v>764</v>
      </c>
      <c r="C62" s="16">
        <v>400</v>
      </c>
      <c r="D62" s="19">
        <v>2.8</v>
      </c>
      <c r="E62" s="16">
        <f t="shared" si="1"/>
        <v>640</v>
      </c>
      <c r="F62" s="93" t="s">
        <v>223</v>
      </c>
      <c r="G62" s="63">
        <v>4.6</v>
      </c>
      <c r="H62" s="57">
        <v>5.15</v>
      </c>
      <c r="I62" s="16">
        <v>378.5</v>
      </c>
      <c r="J62" s="16">
        <v>163</v>
      </c>
      <c r="K62" s="35" t="s">
        <v>78</v>
      </c>
      <c r="L62" s="16">
        <f>AVERAGE(2000,1895,1925,1850,1895,1700,1826)</f>
        <v>1870.142857142857</v>
      </c>
      <c r="M62" s="35" t="s">
        <v>781</v>
      </c>
      <c r="N62" s="16">
        <f>AVERAGE(1875,2841,2200,2275,2599,2100,2699,2601,2025,2359)</f>
        <v>2357.4</v>
      </c>
      <c r="O62" s="16" t="s">
        <v>553</v>
      </c>
      <c r="P62" s="26">
        <v>1550</v>
      </c>
      <c r="Q62" s="16" t="s">
        <v>435</v>
      </c>
      <c r="R62" s="35" t="s">
        <v>39</v>
      </c>
      <c r="S62" s="26">
        <v>2800</v>
      </c>
      <c r="T62" s="16" t="s">
        <v>601</v>
      </c>
      <c r="U62" s="35" t="s">
        <v>35</v>
      </c>
    </row>
    <row r="63" spans="1:21" ht="12" customHeight="1">
      <c r="A63" s="62" t="s">
        <v>32</v>
      </c>
      <c r="B63" s="62" t="s">
        <v>761</v>
      </c>
      <c r="C63" s="16">
        <v>400</v>
      </c>
      <c r="D63" s="19">
        <v>3.5</v>
      </c>
      <c r="E63" s="16">
        <f t="shared" si="1"/>
        <v>640</v>
      </c>
      <c r="F63" s="93" t="s">
        <v>223</v>
      </c>
      <c r="G63" s="63">
        <v>4.6</v>
      </c>
      <c r="H63" s="57">
        <v>2.8</v>
      </c>
      <c r="I63" s="16">
        <v>297.2</v>
      </c>
      <c r="J63" s="16">
        <v>134.6</v>
      </c>
      <c r="K63" s="35" t="s">
        <v>685</v>
      </c>
      <c r="L63" s="16">
        <f>AVERAGE(1150,1199,1350,1299,1275,1200,1175)</f>
        <v>1235.4285714285713</v>
      </c>
      <c r="M63" s="35" t="s">
        <v>781</v>
      </c>
      <c r="N63" s="16">
        <f>AVERAGE(1499,1599,1600,1300,1707,1448,1448)</f>
        <v>1514.4285714285713</v>
      </c>
      <c r="O63" s="16" t="s">
        <v>781</v>
      </c>
      <c r="P63" s="26">
        <v>1300</v>
      </c>
      <c r="Q63" s="16" t="s">
        <v>523</v>
      </c>
      <c r="R63" s="35" t="s">
        <v>38</v>
      </c>
      <c r="S63" s="26" t="s">
        <v>20</v>
      </c>
      <c r="T63" s="16" t="s">
        <v>20</v>
      </c>
      <c r="U63" s="35" t="s">
        <v>20</v>
      </c>
    </row>
    <row r="64" spans="1:21" ht="12" customHeight="1">
      <c r="A64" s="62" t="s">
        <v>32</v>
      </c>
      <c r="B64" s="62" t="s">
        <v>757</v>
      </c>
      <c r="C64" s="16">
        <v>500</v>
      </c>
      <c r="D64" s="19">
        <v>4</v>
      </c>
      <c r="E64" s="16">
        <f t="shared" si="1"/>
        <v>800</v>
      </c>
      <c r="F64" s="93" t="s">
        <v>223</v>
      </c>
      <c r="G64" s="63">
        <v>5</v>
      </c>
      <c r="H64" s="57">
        <v>3</v>
      </c>
      <c r="I64" s="16">
        <v>384</v>
      </c>
      <c r="J64" s="16">
        <v>138</v>
      </c>
      <c r="K64" s="35" t="s">
        <v>421</v>
      </c>
      <c r="L64" s="16">
        <f>AVERAGE(2088,2399,2200,2100,1925,2275,2000)</f>
        <v>2141</v>
      </c>
      <c r="M64" s="35" t="s">
        <v>781</v>
      </c>
      <c r="N64" s="16">
        <f>AVERAGE(2630,2899,2575,3206,2570,2649,2899,2600)</f>
        <v>2753.5</v>
      </c>
      <c r="O64" s="16" t="s">
        <v>781</v>
      </c>
      <c r="P64" s="26">
        <v>2370</v>
      </c>
      <c r="Q64" s="16" t="s">
        <v>435</v>
      </c>
      <c r="R64" s="35" t="s">
        <v>35</v>
      </c>
      <c r="S64" s="26">
        <v>3250</v>
      </c>
      <c r="T64" s="16" t="s">
        <v>781</v>
      </c>
      <c r="U64" s="35" t="s">
        <v>35</v>
      </c>
    </row>
    <row r="65" spans="1:21" ht="12" customHeight="1">
      <c r="A65" s="62" t="s">
        <v>32</v>
      </c>
      <c r="B65" s="62" t="s">
        <v>759</v>
      </c>
      <c r="C65" s="16">
        <v>600</v>
      </c>
      <c r="D65" s="19">
        <v>4</v>
      </c>
      <c r="E65" s="16">
        <f t="shared" si="1"/>
        <v>960</v>
      </c>
      <c r="F65" s="93" t="s">
        <v>223</v>
      </c>
      <c r="G65" s="63">
        <v>7.6</v>
      </c>
      <c r="H65" s="57">
        <v>5.65</v>
      </c>
      <c r="I65" s="16">
        <v>464.8</v>
      </c>
      <c r="J65" s="16">
        <v>172.7</v>
      </c>
      <c r="K65" s="35" t="s">
        <v>421</v>
      </c>
      <c r="L65" s="16">
        <f>AVERAGE(1995,2205,2225,2225,1953,2040,2289,2550,1999,2200)</f>
        <v>2168.1</v>
      </c>
      <c r="M65" s="35" t="s">
        <v>781</v>
      </c>
      <c r="N65" s="26">
        <f>AVERAGE(2850,2425,2800,3200,2800,2750,2499,2799,2675,2899,2022)</f>
        <v>2701.7272727272725</v>
      </c>
      <c r="O65" s="16" t="s">
        <v>501</v>
      </c>
      <c r="P65" s="26">
        <v>2500</v>
      </c>
      <c r="Q65" s="16" t="s">
        <v>731</v>
      </c>
      <c r="R65" s="35" t="s">
        <v>41</v>
      </c>
      <c r="S65" s="26">
        <v>3320</v>
      </c>
      <c r="T65" s="16" t="s">
        <v>667</v>
      </c>
      <c r="U65" s="35" t="s">
        <v>41</v>
      </c>
    </row>
    <row r="66" spans="1:21" ht="12" customHeight="1">
      <c r="A66" s="62" t="s">
        <v>32</v>
      </c>
      <c r="B66" s="62" t="s">
        <v>758</v>
      </c>
      <c r="C66" s="16">
        <v>600</v>
      </c>
      <c r="D66" s="19">
        <v>5.6</v>
      </c>
      <c r="E66" s="16">
        <f t="shared" si="1"/>
        <v>960</v>
      </c>
      <c r="F66" s="93" t="s">
        <v>223</v>
      </c>
      <c r="G66" s="63">
        <v>6.1</v>
      </c>
      <c r="H66" s="57">
        <v>2.7</v>
      </c>
      <c r="I66" s="16">
        <v>382</v>
      </c>
      <c r="J66" s="16">
        <v>134</v>
      </c>
      <c r="K66" s="35" t="s">
        <v>421</v>
      </c>
      <c r="L66" s="16">
        <f>AVERAGE(1580,1630,1479,1675,1200,980,1281,1351,1230,1552)</f>
        <v>1395.8</v>
      </c>
      <c r="M66" s="16" t="s">
        <v>731</v>
      </c>
      <c r="N66" s="26">
        <f>AVERAGE(2125,2100,2600,1875,1785,1800)</f>
        <v>2047.5</v>
      </c>
      <c r="O66" s="16" t="s">
        <v>661</v>
      </c>
      <c r="P66" s="26">
        <v>1600</v>
      </c>
      <c r="Q66" s="16" t="s">
        <v>329</v>
      </c>
      <c r="R66" s="35" t="s">
        <v>35</v>
      </c>
      <c r="S66" s="26">
        <v>2400</v>
      </c>
      <c r="T66" s="16" t="s">
        <v>466</v>
      </c>
      <c r="U66" s="35" t="s">
        <v>195</v>
      </c>
    </row>
    <row r="67" spans="1:21" ht="12" customHeight="1">
      <c r="A67" s="64" t="s">
        <v>32</v>
      </c>
      <c r="B67" s="64" t="s">
        <v>760</v>
      </c>
      <c r="C67" s="28">
        <v>800</v>
      </c>
      <c r="D67" s="45">
        <v>5.6</v>
      </c>
      <c r="E67" s="28">
        <f t="shared" si="1"/>
        <v>1280</v>
      </c>
      <c r="F67" s="94" t="s">
        <v>223</v>
      </c>
      <c r="G67" s="60">
        <v>8</v>
      </c>
      <c r="H67" s="61">
        <v>5.45</v>
      </c>
      <c r="I67" s="28">
        <v>546</v>
      </c>
      <c r="J67" s="28">
        <v>163</v>
      </c>
      <c r="K67" s="37" t="s">
        <v>78</v>
      </c>
      <c r="L67" s="28">
        <f>AVERAGE(2750,2900,3050)</f>
        <v>2900</v>
      </c>
      <c r="M67" s="37" t="s">
        <v>731</v>
      </c>
      <c r="N67" s="28">
        <f>AVERAGE(0)</f>
        <v>0</v>
      </c>
      <c r="O67" s="28" t="s">
        <v>20</v>
      </c>
      <c r="P67" s="27">
        <v>3500</v>
      </c>
      <c r="Q67" s="28" t="s">
        <v>523</v>
      </c>
      <c r="R67" s="37" t="s">
        <v>38</v>
      </c>
      <c r="S67" s="27" t="s">
        <v>20</v>
      </c>
      <c r="T67" s="28" t="s">
        <v>20</v>
      </c>
      <c r="U67" s="37" t="s">
        <v>20</v>
      </c>
    </row>
    <row r="68" spans="1:21" ht="12" customHeight="1">
      <c r="A68" s="62" t="s">
        <v>32</v>
      </c>
      <c r="B68" s="62" t="s">
        <v>531</v>
      </c>
      <c r="C68" s="16" t="s">
        <v>497</v>
      </c>
      <c r="D68" s="19">
        <v>2.8</v>
      </c>
      <c r="E68" s="16" t="s">
        <v>498</v>
      </c>
      <c r="F68" s="93" t="s">
        <v>499</v>
      </c>
      <c r="G68" s="63">
        <v>0.28</v>
      </c>
      <c r="H68" s="57">
        <v>1</v>
      </c>
      <c r="I68" s="16">
        <v>131</v>
      </c>
      <c r="J68" s="16">
        <v>98</v>
      </c>
      <c r="K68" s="35" t="s">
        <v>36</v>
      </c>
      <c r="L68" s="16">
        <f>AVERAGE(1200,1338,1351,1382,1400,1475,1275,1250)</f>
        <v>1333.875</v>
      </c>
      <c r="M68" s="35" t="s">
        <v>781</v>
      </c>
      <c r="N68" s="16">
        <f>AVERAGE(1430,1350,1451)</f>
        <v>1410.3333333333333</v>
      </c>
      <c r="O68" s="16" t="s">
        <v>781</v>
      </c>
      <c r="P68" s="26" t="s">
        <v>20</v>
      </c>
      <c r="Q68" s="16" t="s">
        <v>20</v>
      </c>
      <c r="R68" s="35" t="s">
        <v>20</v>
      </c>
      <c r="S68" s="26">
        <v>1500</v>
      </c>
      <c r="T68" s="16" t="s">
        <v>781</v>
      </c>
      <c r="U68" s="35" t="s">
        <v>689</v>
      </c>
    </row>
    <row r="69" spans="1:21" ht="12" customHeight="1">
      <c r="A69" s="64" t="s">
        <v>32</v>
      </c>
      <c r="B69" s="64" t="s">
        <v>327</v>
      </c>
      <c r="C69" s="28" t="s">
        <v>183</v>
      </c>
      <c r="D69" s="45">
        <v>4</v>
      </c>
      <c r="E69" s="28" t="s">
        <v>328</v>
      </c>
      <c r="F69" s="94" t="s">
        <v>223</v>
      </c>
      <c r="G69" s="60">
        <v>3.65</v>
      </c>
      <c r="H69" s="61">
        <v>4</v>
      </c>
      <c r="I69" s="28">
        <v>330</v>
      </c>
      <c r="J69" s="28">
        <v>144</v>
      </c>
      <c r="K69" s="37">
        <v>122</v>
      </c>
      <c r="L69" s="28">
        <f>AVERAGE(2229)</f>
        <v>2229</v>
      </c>
      <c r="M69" s="37" t="s">
        <v>781</v>
      </c>
      <c r="N69" s="28">
        <f>AVERAGE(2656,3000,3050)</f>
        <v>2902</v>
      </c>
      <c r="O69" s="28" t="s">
        <v>536</v>
      </c>
      <c r="P69" s="27" t="s">
        <v>20</v>
      </c>
      <c r="Q69" s="28" t="s">
        <v>20</v>
      </c>
      <c r="R69" s="37" t="s">
        <v>20</v>
      </c>
      <c r="S69" s="27" t="s">
        <v>20</v>
      </c>
      <c r="T69" s="28" t="s">
        <v>20</v>
      </c>
      <c r="U69" s="37" t="s">
        <v>20</v>
      </c>
    </row>
    <row r="70" spans="1:21" s="41" customFormat="1" ht="12" customHeight="1">
      <c r="A70" s="143" t="s">
        <v>636</v>
      </c>
      <c r="B70" s="74"/>
      <c r="C70" s="30"/>
      <c r="D70" s="75"/>
      <c r="E70" s="30"/>
      <c r="F70" s="78"/>
      <c r="G70" s="76" t="s">
        <v>20</v>
      </c>
      <c r="H70" s="77" t="s">
        <v>20</v>
      </c>
      <c r="I70" s="30" t="s">
        <v>20</v>
      </c>
      <c r="J70" s="30" t="s">
        <v>20</v>
      </c>
      <c r="K70" s="30" t="s">
        <v>20</v>
      </c>
      <c r="L70" s="30" t="s">
        <v>20</v>
      </c>
      <c r="M70" s="30" t="s">
        <v>20</v>
      </c>
      <c r="N70" s="30" t="s">
        <v>20</v>
      </c>
      <c r="O70" s="30" t="s">
        <v>20</v>
      </c>
      <c r="P70" s="30" t="s">
        <v>20</v>
      </c>
      <c r="Q70" s="30" t="s">
        <v>20</v>
      </c>
      <c r="R70" s="30" t="s">
        <v>20</v>
      </c>
      <c r="S70" s="30" t="s">
        <v>20</v>
      </c>
      <c r="T70" s="30" t="s">
        <v>20</v>
      </c>
      <c r="U70" s="30" t="s">
        <v>20</v>
      </c>
    </row>
    <row r="71" spans="1:21" ht="12" customHeight="1">
      <c r="A71" s="62" t="s">
        <v>344</v>
      </c>
      <c r="B71" s="62" t="s">
        <v>434</v>
      </c>
      <c r="C71" s="16">
        <v>18</v>
      </c>
      <c r="D71" s="19">
        <v>3.5</v>
      </c>
      <c r="E71" s="16">
        <f aca="true" t="shared" si="2" ref="E71:E108">1.6*C71</f>
        <v>28.8</v>
      </c>
      <c r="F71" s="93" t="s">
        <v>345</v>
      </c>
      <c r="G71" s="63" t="s">
        <v>20</v>
      </c>
      <c r="H71" s="57" t="s">
        <v>20</v>
      </c>
      <c r="I71" s="16" t="s">
        <v>20</v>
      </c>
      <c r="J71" s="16" t="s">
        <v>20</v>
      </c>
      <c r="K71" s="35" t="s">
        <v>20</v>
      </c>
      <c r="L71" s="15">
        <f>AVERAGE(719,450)</f>
        <v>584.5</v>
      </c>
      <c r="M71" s="15" t="s">
        <v>553</v>
      </c>
      <c r="N71" s="44">
        <f>AVERAGE(1025,975,750)</f>
        <v>916.6666666666666</v>
      </c>
      <c r="O71" s="16" t="s">
        <v>462</v>
      </c>
      <c r="P71" s="26" t="s">
        <v>20</v>
      </c>
      <c r="Q71" s="16" t="s">
        <v>20</v>
      </c>
      <c r="R71" s="35" t="s">
        <v>20</v>
      </c>
      <c r="S71" s="26">
        <v>1050</v>
      </c>
      <c r="T71" s="16" t="s">
        <v>466</v>
      </c>
      <c r="U71" s="35" t="s">
        <v>195</v>
      </c>
    </row>
    <row r="72" spans="1:21" ht="12" customHeight="1">
      <c r="A72" s="62" t="s">
        <v>344</v>
      </c>
      <c r="B72" s="62" t="s">
        <v>347</v>
      </c>
      <c r="C72" s="16">
        <v>21</v>
      </c>
      <c r="D72" s="19">
        <v>2</v>
      </c>
      <c r="E72" s="16">
        <f t="shared" si="2"/>
        <v>33.6</v>
      </c>
      <c r="F72" s="93" t="s">
        <v>345</v>
      </c>
      <c r="G72" s="63">
        <v>0.2</v>
      </c>
      <c r="H72" s="57">
        <v>0.25</v>
      </c>
      <c r="I72" s="16">
        <v>43.5</v>
      </c>
      <c r="J72" s="16">
        <v>60</v>
      </c>
      <c r="K72" s="35">
        <v>55</v>
      </c>
      <c r="L72" s="26">
        <f>AVERAGE(768,699,840,875,700,750,629)</f>
        <v>751.5714285714286</v>
      </c>
      <c r="M72" s="43" t="s">
        <v>781</v>
      </c>
      <c r="N72" s="16">
        <f>AVERAGE(995,930,925,1008,772,840,905,1086)</f>
        <v>932.625</v>
      </c>
      <c r="O72" s="19" t="s">
        <v>781</v>
      </c>
      <c r="P72" s="26">
        <v>1220</v>
      </c>
      <c r="Q72" s="19" t="s">
        <v>781</v>
      </c>
      <c r="R72" s="35" t="s">
        <v>35</v>
      </c>
      <c r="S72" s="26">
        <v>1195</v>
      </c>
      <c r="T72" s="19" t="s">
        <v>466</v>
      </c>
      <c r="U72" s="35" t="s">
        <v>195</v>
      </c>
    </row>
    <row r="73" spans="1:21" ht="12" customHeight="1">
      <c r="A73" s="64" t="s">
        <v>344</v>
      </c>
      <c r="B73" s="64" t="s">
        <v>348</v>
      </c>
      <c r="C73" s="28">
        <v>21</v>
      </c>
      <c r="D73" s="45">
        <v>3.5</v>
      </c>
      <c r="E73" s="28">
        <f t="shared" si="2"/>
        <v>33.6</v>
      </c>
      <c r="F73" s="94" t="s">
        <v>345</v>
      </c>
      <c r="G73" s="60">
        <v>0.2</v>
      </c>
      <c r="H73" s="61">
        <v>0.18</v>
      </c>
      <c r="I73" s="28">
        <v>31</v>
      </c>
      <c r="J73" s="28">
        <v>59</v>
      </c>
      <c r="K73" s="37">
        <v>49</v>
      </c>
      <c r="L73" s="28">
        <f>AVERAGE(221,320,289,370,325,250,357,375,292,367)</f>
        <v>316.6</v>
      </c>
      <c r="M73" s="28" t="s">
        <v>552</v>
      </c>
      <c r="N73" s="27">
        <f>AVERAGE(425,450,525,485,464,405,510,519,450,549,500,407)</f>
        <v>474.0833333333333</v>
      </c>
      <c r="O73" s="28" t="s">
        <v>781</v>
      </c>
      <c r="P73" s="27">
        <v>295</v>
      </c>
      <c r="Q73" s="28" t="s">
        <v>781</v>
      </c>
      <c r="R73" s="37" t="s">
        <v>33</v>
      </c>
      <c r="S73" s="27">
        <v>440</v>
      </c>
      <c r="T73" s="28" t="s">
        <v>781</v>
      </c>
      <c r="U73" s="37" t="s">
        <v>38</v>
      </c>
    </row>
    <row r="74" spans="1:21" ht="12" customHeight="1">
      <c r="A74" s="62" t="s">
        <v>344</v>
      </c>
      <c r="B74" s="62" t="s">
        <v>349</v>
      </c>
      <c r="C74" s="16">
        <v>24</v>
      </c>
      <c r="D74" s="19">
        <v>2</v>
      </c>
      <c r="E74" s="16">
        <f t="shared" si="2"/>
        <v>38.400000000000006</v>
      </c>
      <c r="F74" s="93" t="s">
        <v>345</v>
      </c>
      <c r="G74" s="63">
        <v>0.25</v>
      </c>
      <c r="H74" s="57">
        <v>0.28</v>
      </c>
      <c r="I74" s="16">
        <v>48</v>
      </c>
      <c r="J74" s="16">
        <v>60</v>
      </c>
      <c r="K74" s="35">
        <v>55</v>
      </c>
      <c r="L74" s="26">
        <f>AVERAGE(226,305,289,287,312,306,364,251,280)</f>
        <v>291.1111111111111</v>
      </c>
      <c r="M74" s="43" t="s">
        <v>731</v>
      </c>
      <c r="N74" s="16">
        <f>AVERAGE(390,361,365,325,599,589,400)</f>
        <v>432.7142857142857</v>
      </c>
      <c r="O74" s="19" t="s">
        <v>601</v>
      </c>
      <c r="P74" s="26">
        <v>665</v>
      </c>
      <c r="Q74" s="19" t="s">
        <v>731</v>
      </c>
      <c r="R74" s="35" t="s">
        <v>35</v>
      </c>
      <c r="S74" s="26">
        <v>425</v>
      </c>
      <c r="T74" s="19" t="s">
        <v>466</v>
      </c>
      <c r="U74" s="35" t="s">
        <v>195</v>
      </c>
    </row>
    <row r="75" spans="1:21" ht="12" customHeight="1">
      <c r="A75" s="62" t="s">
        <v>344</v>
      </c>
      <c r="B75" s="62" t="s">
        <v>690</v>
      </c>
      <c r="C75" s="16">
        <v>24</v>
      </c>
      <c r="D75" s="19">
        <v>2.8</v>
      </c>
      <c r="E75" s="16">
        <f t="shared" si="2"/>
        <v>38.400000000000006</v>
      </c>
      <c r="F75" s="93" t="s">
        <v>345</v>
      </c>
      <c r="G75" s="63">
        <v>0.25</v>
      </c>
      <c r="H75" s="57">
        <v>0.18</v>
      </c>
      <c r="I75" s="16">
        <v>31</v>
      </c>
      <c r="J75" s="16">
        <v>59</v>
      </c>
      <c r="K75" s="35">
        <v>49</v>
      </c>
      <c r="L75" s="26">
        <f>AVERAGE(125,101,150,140,114,122,153,154,117,140,)</f>
        <v>119.63636363636364</v>
      </c>
      <c r="M75" s="43" t="s">
        <v>767</v>
      </c>
      <c r="N75" s="16">
        <f>AVERAGE(213,190,136,190,192,202,237)</f>
        <v>194.28571428571428</v>
      </c>
      <c r="O75" s="19" t="s">
        <v>781</v>
      </c>
      <c r="P75" s="26">
        <v>150</v>
      </c>
      <c r="Q75" s="19" t="s">
        <v>781</v>
      </c>
      <c r="R75" s="35" t="s">
        <v>41</v>
      </c>
      <c r="S75" s="26">
        <v>225</v>
      </c>
      <c r="T75" s="19" t="s">
        <v>731</v>
      </c>
      <c r="U75" s="35" t="s">
        <v>41</v>
      </c>
    </row>
    <row r="76" spans="1:21" ht="12" customHeight="1">
      <c r="A76" s="62" t="s">
        <v>344</v>
      </c>
      <c r="B76" s="62" t="s">
        <v>346</v>
      </c>
      <c r="C76" s="16">
        <v>24</v>
      </c>
      <c r="D76" s="19">
        <v>3.5</v>
      </c>
      <c r="E76" s="16">
        <f t="shared" si="2"/>
        <v>38.400000000000006</v>
      </c>
      <c r="F76" s="93" t="s">
        <v>345</v>
      </c>
      <c r="G76" s="63">
        <v>0.35</v>
      </c>
      <c r="H76" s="57">
        <v>0.51</v>
      </c>
      <c r="I76" s="16">
        <v>75</v>
      </c>
      <c r="J76" s="16">
        <v>84</v>
      </c>
      <c r="K76" s="35" t="s">
        <v>152</v>
      </c>
      <c r="L76" s="26">
        <f>AVERAGE(1000,1625)</f>
        <v>1312.5</v>
      </c>
      <c r="M76" s="43" t="s">
        <v>501</v>
      </c>
      <c r="N76" s="16">
        <f>AVERAGE(1375)</f>
        <v>1375</v>
      </c>
      <c r="O76" s="19" t="s">
        <v>704</v>
      </c>
      <c r="P76" s="26">
        <v>1270</v>
      </c>
      <c r="Q76" s="19" t="s">
        <v>781</v>
      </c>
      <c r="R76" s="35" t="s">
        <v>35</v>
      </c>
      <c r="S76" s="26">
        <v>1895</v>
      </c>
      <c r="T76" s="19" t="s">
        <v>376</v>
      </c>
      <c r="U76" s="35" t="s">
        <v>195</v>
      </c>
    </row>
    <row r="77" spans="1:21" ht="12" customHeight="1">
      <c r="A77" s="64" t="s">
        <v>344</v>
      </c>
      <c r="B77" s="64" t="s">
        <v>346</v>
      </c>
      <c r="C77" s="28">
        <v>35</v>
      </c>
      <c r="D77" s="45">
        <v>2.8</v>
      </c>
      <c r="E77" s="28">
        <f t="shared" si="2"/>
        <v>56</v>
      </c>
      <c r="F77" s="94" t="s">
        <v>345</v>
      </c>
      <c r="G77" s="60">
        <v>0.3</v>
      </c>
      <c r="H77" s="61">
        <v>0.31</v>
      </c>
      <c r="I77" s="28">
        <v>58</v>
      </c>
      <c r="J77" s="28">
        <v>68</v>
      </c>
      <c r="K77" s="37">
        <v>49</v>
      </c>
      <c r="L77" s="28">
        <f>AVERAGE(289,315,316,397,405,455)</f>
        <v>362.8333333333333</v>
      </c>
      <c r="M77" s="28" t="s">
        <v>731</v>
      </c>
      <c r="N77" s="27">
        <f>AVERAGE(495,505,660)</f>
        <v>553.3333333333334</v>
      </c>
      <c r="O77" s="28" t="s">
        <v>661</v>
      </c>
      <c r="P77" s="27">
        <v>700</v>
      </c>
      <c r="Q77" s="28" t="s">
        <v>781</v>
      </c>
      <c r="R77" s="37" t="s">
        <v>38</v>
      </c>
      <c r="S77" s="27">
        <v>415</v>
      </c>
      <c r="T77" s="28" t="s">
        <v>731</v>
      </c>
      <c r="U77" s="37" t="s">
        <v>35</v>
      </c>
    </row>
    <row r="78" spans="1:21" ht="12" customHeight="1">
      <c r="A78" s="62" t="s">
        <v>344</v>
      </c>
      <c r="B78" s="62" t="s">
        <v>512</v>
      </c>
      <c r="C78" s="16">
        <v>50</v>
      </c>
      <c r="D78" s="19">
        <v>1.2</v>
      </c>
      <c r="E78" s="16">
        <f t="shared" si="2"/>
        <v>80</v>
      </c>
      <c r="F78" s="93" t="s">
        <v>345</v>
      </c>
      <c r="G78" s="63">
        <v>0.45</v>
      </c>
      <c r="H78" s="57">
        <v>0.285</v>
      </c>
      <c r="I78" s="16">
        <v>43</v>
      </c>
      <c r="J78" s="16">
        <v>65</v>
      </c>
      <c r="K78" s="35">
        <v>49</v>
      </c>
      <c r="L78" s="26">
        <f>AVERAGE(385,400,447,399,417,406)</f>
        <v>409</v>
      </c>
      <c r="M78" s="43" t="s">
        <v>731</v>
      </c>
      <c r="N78" s="16">
        <f>AVERAGE(550,463,451,405,550,493)</f>
        <v>485.3333333333333</v>
      </c>
      <c r="O78" s="19" t="s">
        <v>781</v>
      </c>
      <c r="P78" s="26">
        <v>450</v>
      </c>
      <c r="Q78" s="19" t="s">
        <v>731</v>
      </c>
      <c r="R78" s="35" t="s">
        <v>35</v>
      </c>
      <c r="S78" s="26" t="s">
        <v>20</v>
      </c>
      <c r="T78" s="19" t="s">
        <v>20</v>
      </c>
      <c r="U78" s="35" t="s">
        <v>20</v>
      </c>
    </row>
    <row r="79" spans="1:21" ht="12" customHeight="1">
      <c r="A79" s="64" t="s">
        <v>344</v>
      </c>
      <c r="B79" s="64" t="s">
        <v>742</v>
      </c>
      <c r="C79" s="28">
        <v>55</v>
      </c>
      <c r="D79" s="45">
        <v>1.2</v>
      </c>
      <c r="E79" s="28">
        <v>80</v>
      </c>
      <c r="F79" s="94" t="s">
        <v>345</v>
      </c>
      <c r="G79" s="60">
        <v>0.45</v>
      </c>
      <c r="H79" s="61">
        <v>0.31</v>
      </c>
      <c r="I79" s="28">
        <v>47</v>
      </c>
      <c r="J79" s="28">
        <v>65</v>
      </c>
      <c r="K79" s="37">
        <v>49</v>
      </c>
      <c r="L79" s="27">
        <f>AVERAGE(299)</f>
        <v>299</v>
      </c>
      <c r="M79" s="28" t="s">
        <v>781</v>
      </c>
      <c r="N79" s="27">
        <f>AVERAGE(460)</f>
        <v>460</v>
      </c>
      <c r="O79" s="28" t="s">
        <v>781</v>
      </c>
      <c r="P79" s="27" t="s">
        <v>20</v>
      </c>
      <c r="Q79" s="28" t="s">
        <v>20</v>
      </c>
      <c r="R79" s="37" t="s">
        <v>20</v>
      </c>
      <c r="S79" s="27" t="s">
        <v>20</v>
      </c>
      <c r="T79" s="28" t="s">
        <v>20</v>
      </c>
      <c r="U79" s="37" t="s">
        <v>20</v>
      </c>
    </row>
    <row r="80" spans="1:21" ht="12" customHeight="1">
      <c r="A80" s="62" t="s">
        <v>344</v>
      </c>
      <c r="B80" s="62" t="s">
        <v>748</v>
      </c>
      <c r="C80" s="16">
        <v>100</v>
      </c>
      <c r="D80" s="19">
        <v>2</v>
      </c>
      <c r="E80" s="16">
        <f t="shared" si="2"/>
        <v>160</v>
      </c>
      <c r="F80" s="93" t="s">
        <v>345</v>
      </c>
      <c r="G80" s="63">
        <v>0.7</v>
      </c>
      <c r="H80" s="57">
        <v>0.52</v>
      </c>
      <c r="I80" s="16">
        <v>72</v>
      </c>
      <c r="J80" s="16">
        <v>70</v>
      </c>
      <c r="K80" s="35">
        <v>55</v>
      </c>
      <c r="L80" s="26">
        <f>AVERAGE(0)</f>
        <v>0</v>
      </c>
      <c r="M80" s="16" t="s">
        <v>20</v>
      </c>
      <c r="N80" s="26">
        <f>AVERAGE(789,910)</f>
        <v>849.5</v>
      </c>
      <c r="O80" s="19" t="s">
        <v>781</v>
      </c>
      <c r="P80" s="26"/>
      <c r="Q80" s="19"/>
      <c r="R80" s="35"/>
      <c r="S80" s="26"/>
      <c r="T80" s="19"/>
      <c r="U80" s="35"/>
    </row>
    <row r="81" spans="1:21" ht="12" customHeight="1">
      <c r="A81" s="62" t="s">
        <v>344</v>
      </c>
      <c r="B81" s="62" t="s">
        <v>360</v>
      </c>
      <c r="C81" s="16">
        <v>180</v>
      </c>
      <c r="D81" s="19">
        <v>2</v>
      </c>
      <c r="E81" s="16">
        <f t="shared" si="2"/>
        <v>288</v>
      </c>
      <c r="F81" s="93" t="s">
        <v>345</v>
      </c>
      <c r="G81" s="63">
        <v>1.58</v>
      </c>
      <c r="H81" s="57">
        <v>1.9</v>
      </c>
      <c r="I81" s="16">
        <v>173</v>
      </c>
      <c r="J81" s="16">
        <v>107</v>
      </c>
      <c r="K81" s="35">
        <v>100</v>
      </c>
      <c r="L81" s="16">
        <f>AVERAGE(1802)</f>
        <v>1802</v>
      </c>
      <c r="M81" s="43" t="s">
        <v>553</v>
      </c>
      <c r="N81" s="16">
        <f>AVERAGE(2682)</f>
        <v>2682</v>
      </c>
      <c r="O81" s="19" t="s">
        <v>552</v>
      </c>
      <c r="P81" s="26">
        <v>600</v>
      </c>
      <c r="Q81" s="19" t="s">
        <v>435</v>
      </c>
      <c r="R81" s="35" t="s">
        <v>431</v>
      </c>
      <c r="S81" s="26" t="s">
        <v>20</v>
      </c>
      <c r="T81" s="19" t="s">
        <v>20</v>
      </c>
      <c r="U81" s="35" t="s">
        <v>20</v>
      </c>
    </row>
    <row r="82" spans="1:21" ht="12" customHeight="1">
      <c r="A82" s="62" t="s">
        <v>344</v>
      </c>
      <c r="B82" s="62" t="s">
        <v>360</v>
      </c>
      <c r="C82" s="16">
        <v>250</v>
      </c>
      <c r="D82" s="19">
        <v>2</v>
      </c>
      <c r="E82" s="16">
        <f t="shared" si="2"/>
        <v>400</v>
      </c>
      <c r="F82" s="93" t="s">
        <v>345</v>
      </c>
      <c r="G82" s="63">
        <v>2.2</v>
      </c>
      <c r="H82" s="57">
        <v>3.9</v>
      </c>
      <c r="I82" s="16">
        <v>246</v>
      </c>
      <c r="J82" s="16">
        <v>142</v>
      </c>
      <c r="K82" s="35" t="s">
        <v>172</v>
      </c>
      <c r="L82" s="16">
        <f>AVERAGE(0)</f>
        <v>0</v>
      </c>
      <c r="M82" s="43" t="s">
        <v>20</v>
      </c>
      <c r="N82" s="16">
        <f>AVERAGE(0)</f>
        <v>0</v>
      </c>
      <c r="O82" s="19" t="s">
        <v>20</v>
      </c>
      <c r="P82" s="26" t="s">
        <v>20</v>
      </c>
      <c r="Q82" s="19" t="s">
        <v>20</v>
      </c>
      <c r="R82" s="35" t="s">
        <v>20</v>
      </c>
      <c r="S82" s="26" t="s">
        <v>20</v>
      </c>
      <c r="T82" s="19" t="s">
        <v>20</v>
      </c>
      <c r="U82" s="35" t="s">
        <v>20</v>
      </c>
    </row>
    <row r="83" spans="1:21" ht="12" customHeight="1">
      <c r="A83" s="64" t="s">
        <v>344</v>
      </c>
      <c r="B83" s="64" t="s">
        <v>360</v>
      </c>
      <c r="C83" s="28">
        <v>350</v>
      </c>
      <c r="D83" s="45">
        <v>2.8</v>
      </c>
      <c r="E83" s="28">
        <f t="shared" si="2"/>
        <v>560</v>
      </c>
      <c r="F83" s="94" t="s">
        <v>345</v>
      </c>
      <c r="G83" s="60">
        <v>3</v>
      </c>
      <c r="H83" s="61">
        <v>3.9</v>
      </c>
      <c r="I83" s="28">
        <v>280</v>
      </c>
      <c r="J83" s="28">
        <v>142</v>
      </c>
      <c r="K83" s="37" t="s">
        <v>172</v>
      </c>
      <c r="L83" s="27">
        <f>AVERAGE(2200)</f>
        <v>2200</v>
      </c>
      <c r="M83" s="37" t="s">
        <v>781</v>
      </c>
      <c r="N83" s="28">
        <f>AVERAGE(0)</f>
        <v>0</v>
      </c>
      <c r="O83" s="28" t="s">
        <v>20</v>
      </c>
      <c r="P83" s="27">
        <v>3000</v>
      </c>
      <c r="Q83" s="28" t="s">
        <v>731</v>
      </c>
      <c r="R83" s="37" t="s">
        <v>38</v>
      </c>
      <c r="S83" s="27">
        <v>3121</v>
      </c>
      <c r="T83" s="28" t="s">
        <v>731</v>
      </c>
      <c r="U83" s="37" t="s">
        <v>35</v>
      </c>
    </row>
    <row r="84" spans="1:21" s="41" customFormat="1" ht="12" customHeight="1">
      <c r="A84" s="143" t="s">
        <v>639</v>
      </c>
      <c r="B84" s="74"/>
      <c r="C84" s="30"/>
      <c r="D84" s="75"/>
      <c r="E84" s="30"/>
      <c r="F84" s="78"/>
      <c r="G84" s="76" t="s">
        <v>20</v>
      </c>
      <c r="H84" s="77" t="s">
        <v>20</v>
      </c>
      <c r="I84" s="30" t="s">
        <v>20</v>
      </c>
      <c r="J84" s="30" t="s">
        <v>20</v>
      </c>
      <c r="K84" s="30" t="s">
        <v>20</v>
      </c>
      <c r="L84" s="30" t="s">
        <v>20</v>
      </c>
      <c r="M84" s="30" t="s">
        <v>20</v>
      </c>
      <c r="N84" s="30" t="s">
        <v>20</v>
      </c>
      <c r="O84" s="30" t="s">
        <v>20</v>
      </c>
      <c r="P84" s="30" t="s">
        <v>20</v>
      </c>
      <c r="Q84" s="30" t="s">
        <v>20</v>
      </c>
      <c r="R84" s="30" t="s">
        <v>20</v>
      </c>
      <c r="S84" s="30" t="s">
        <v>20</v>
      </c>
      <c r="T84" s="30" t="s">
        <v>20</v>
      </c>
      <c r="U84" s="30" t="s">
        <v>20</v>
      </c>
    </row>
    <row r="85" spans="1:21" s="41" customFormat="1" ht="12" customHeight="1">
      <c r="A85" s="62" t="s">
        <v>194</v>
      </c>
      <c r="B85" s="62" t="s">
        <v>400</v>
      </c>
      <c r="C85" s="19">
        <v>15</v>
      </c>
      <c r="D85" s="19" t="s">
        <v>198</v>
      </c>
      <c r="E85" s="16">
        <f t="shared" si="2"/>
        <v>24</v>
      </c>
      <c r="F85" s="71" t="s">
        <v>192</v>
      </c>
      <c r="G85" s="63">
        <v>0.3</v>
      </c>
      <c r="H85" s="57">
        <v>0.57</v>
      </c>
      <c r="I85" s="16">
        <v>82</v>
      </c>
      <c r="J85" s="16">
        <v>80</v>
      </c>
      <c r="K85" s="16" t="s">
        <v>152</v>
      </c>
      <c r="L85" s="26">
        <f>AVERAGE(0)</f>
        <v>0</v>
      </c>
      <c r="M85" s="16" t="s">
        <v>20</v>
      </c>
      <c r="N85" s="26">
        <f>AVERAGE(1000,1250)</f>
        <v>1125</v>
      </c>
      <c r="O85" s="16" t="s">
        <v>362</v>
      </c>
      <c r="P85" s="26" t="s">
        <v>20</v>
      </c>
      <c r="Q85" s="16" t="s">
        <v>20</v>
      </c>
      <c r="R85" s="16" t="s">
        <v>20</v>
      </c>
      <c r="S85" s="26" t="s">
        <v>20</v>
      </c>
      <c r="T85" s="16" t="s">
        <v>20</v>
      </c>
      <c r="U85" s="35" t="s">
        <v>20</v>
      </c>
    </row>
    <row r="86" spans="1:21" s="41" customFormat="1" ht="12" customHeight="1">
      <c r="A86" s="41" t="s">
        <v>194</v>
      </c>
      <c r="B86" s="41" t="s">
        <v>423</v>
      </c>
      <c r="C86" s="19">
        <v>17</v>
      </c>
      <c r="D86" s="19">
        <v>4</v>
      </c>
      <c r="E86" s="16">
        <f aca="true" t="shared" si="3" ref="E86:E93">1.6*C86</f>
        <v>27.200000000000003</v>
      </c>
      <c r="F86" s="63" t="s">
        <v>192</v>
      </c>
      <c r="G86" s="63">
        <v>0.2</v>
      </c>
      <c r="H86" s="57">
        <v>0.228</v>
      </c>
      <c r="I86" s="16">
        <v>32</v>
      </c>
      <c r="J86" s="16">
        <v>67</v>
      </c>
      <c r="K86" s="35" t="s">
        <v>152</v>
      </c>
      <c r="L86" s="16">
        <f>AVERAGE(151,151,184,160,256,212,179,180,265)</f>
        <v>193.11111111111111</v>
      </c>
      <c r="M86" s="43" t="s">
        <v>553</v>
      </c>
      <c r="N86" s="16">
        <f>AVERAGE(360,243,275,229,285,378,248)</f>
        <v>288.2857142857143</v>
      </c>
      <c r="O86" s="19" t="s">
        <v>781</v>
      </c>
      <c r="P86" s="26">
        <v>450</v>
      </c>
      <c r="Q86" s="19" t="s">
        <v>731</v>
      </c>
      <c r="R86" s="16" t="s">
        <v>660</v>
      </c>
      <c r="S86" s="26">
        <v>395</v>
      </c>
      <c r="T86" s="19" t="s">
        <v>496</v>
      </c>
      <c r="U86" s="35" t="s">
        <v>41</v>
      </c>
    </row>
    <row r="87" spans="1:21" s="41" customFormat="1" ht="12" customHeight="1">
      <c r="A87" s="41" t="s">
        <v>194</v>
      </c>
      <c r="B87" s="41" t="s">
        <v>619</v>
      </c>
      <c r="C87" s="19">
        <v>17</v>
      </c>
      <c r="D87" s="19" t="s">
        <v>199</v>
      </c>
      <c r="E87" s="16">
        <f t="shared" si="3"/>
        <v>27.200000000000003</v>
      </c>
      <c r="F87" s="63" t="s">
        <v>192</v>
      </c>
      <c r="G87" s="63">
        <v>0.2</v>
      </c>
      <c r="H87" s="57">
        <v>0.228</v>
      </c>
      <c r="I87" s="16">
        <v>32</v>
      </c>
      <c r="J87" s="16">
        <v>67</v>
      </c>
      <c r="K87" s="35" t="s">
        <v>152</v>
      </c>
      <c r="L87" s="16">
        <f>AVERAGE(265,265,224,203)</f>
        <v>239.25</v>
      </c>
      <c r="M87" s="43" t="s">
        <v>601</v>
      </c>
      <c r="N87" s="16">
        <f>AVERAGE(400,280,510,307)</f>
        <v>374.25</v>
      </c>
      <c r="O87" s="19" t="s">
        <v>781</v>
      </c>
      <c r="P87" s="87" t="s">
        <v>20</v>
      </c>
      <c r="Q87" s="19" t="s">
        <v>20</v>
      </c>
      <c r="R87" s="35" t="s">
        <v>20</v>
      </c>
      <c r="S87" s="87">
        <v>595</v>
      </c>
      <c r="T87" s="19" t="s">
        <v>466</v>
      </c>
      <c r="U87" s="43" t="s">
        <v>195</v>
      </c>
    </row>
    <row r="88" spans="1:21" s="41" customFormat="1" ht="12" customHeight="1">
      <c r="A88" s="41" t="s">
        <v>194</v>
      </c>
      <c r="B88" s="41" t="s">
        <v>620</v>
      </c>
      <c r="C88" s="19">
        <v>18</v>
      </c>
      <c r="D88" s="19">
        <v>11</v>
      </c>
      <c r="E88" s="16">
        <f t="shared" si="3"/>
        <v>28.8</v>
      </c>
      <c r="F88" s="63" t="s">
        <v>192</v>
      </c>
      <c r="G88" s="63">
        <v>0.2</v>
      </c>
      <c r="H88" s="57">
        <v>0.097</v>
      </c>
      <c r="I88" s="16">
        <v>20</v>
      </c>
      <c r="J88" s="16">
        <v>55</v>
      </c>
      <c r="K88" s="35" t="s">
        <v>200</v>
      </c>
      <c r="L88" s="16">
        <f>AVERAGE(121,200,150,163)</f>
        <v>158.5</v>
      </c>
      <c r="M88" s="43" t="s">
        <v>601</v>
      </c>
      <c r="N88" s="16">
        <f>AVERAGE(202,181,209,265)</f>
        <v>214.25</v>
      </c>
      <c r="O88" s="19" t="s">
        <v>447</v>
      </c>
      <c r="P88" s="87">
        <v>300</v>
      </c>
      <c r="Q88" s="19" t="s">
        <v>466</v>
      </c>
      <c r="R88" s="35" t="s">
        <v>39</v>
      </c>
      <c r="S88" s="87" t="s">
        <v>20</v>
      </c>
      <c r="T88" s="19" t="s">
        <v>20</v>
      </c>
      <c r="U88" s="43" t="s">
        <v>20</v>
      </c>
    </row>
    <row r="89" spans="1:21" s="41" customFormat="1" ht="12" customHeight="1">
      <c r="A89" s="41" t="s">
        <v>194</v>
      </c>
      <c r="B89" s="41" t="s">
        <v>401</v>
      </c>
      <c r="C89" s="19">
        <v>20</v>
      </c>
      <c r="D89" s="19">
        <v>4.5</v>
      </c>
      <c r="E89" s="16">
        <f t="shared" si="3"/>
        <v>32</v>
      </c>
      <c r="F89" s="63" t="s">
        <v>192</v>
      </c>
      <c r="G89" s="63">
        <v>0.2</v>
      </c>
      <c r="H89" s="57">
        <v>0.251</v>
      </c>
      <c r="I89" s="16">
        <v>45</v>
      </c>
      <c r="J89" s="16">
        <v>62</v>
      </c>
      <c r="K89" s="35">
        <v>77</v>
      </c>
      <c r="L89" s="26">
        <f>AVERAGE(0)</f>
        <v>0</v>
      </c>
      <c r="M89" s="43" t="s">
        <v>20</v>
      </c>
      <c r="N89" s="16">
        <f>AVERAGE(256,296,222,160,200)</f>
        <v>226.8</v>
      </c>
      <c r="O89" s="19" t="s">
        <v>731</v>
      </c>
      <c r="P89" s="87">
        <v>325</v>
      </c>
      <c r="Q89" s="19" t="s">
        <v>466</v>
      </c>
      <c r="R89" s="35" t="s">
        <v>195</v>
      </c>
      <c r="S89" s="87" t="s">
        <v>20</v>
      </c>
      <c r="T89" s="19" t="s">
        <v>20</v>
      </c>
      <c r="U89" s="43" t="s">
        <v>20</v>
      </c>
    </row>
    <row r="90" spans="1:21" ht="12" customHeight="1">
      <c r="A90" s="64" t="s">
        <v>194</v>
      </c>
      <c r="B90" s="64" t="s">
        <v>402</v>
      </c>
      <c r="C90" s="28">
        <v>20</v>
      </c>
      <c r="D90" s="45" t="s">
        <v>201</v>
      </c>
      <c r="E90" s="28">
        <f t="shared" si="3"/>
        <v>32</v>
      </c>
      <c r="F90" s="94" t="s">
        <v>192</v>
      </c>
      <c r="G90" s="60">
        <v>0.2</v>
      </c>
      <c r="H90" s="61">
        <v>0.251</v>
      </c>
      <c r="I90" s="28">
        <v>45</v>
      </c>
      <c r="J90" s="28">
        <v>62</v>
      </c>
      <c r="K90" s="37">
        <v>77</v>
      </c>
      <c r="L90" s="28">
        <f>AVERAGE(280,255,270)</f>
        <v>268.3333333333333</v>
      </c>
      <c r="M90" s="28" t="s">
        <v>661</v>
      </c>
      <c r="N90" s="27">
        <f>AVERAGE(398,266,250,275,300)</f>
        <v>297.8</v>
      </c>
      <c r="O90" s="28" t="s">
        <v>375</v>
      </c>
      <c r="P90" s="27">
        <v>275</v>
      </c>
      <c r="Q90" s="28" t="s">
        <v>375</v>
      </c>
      <c r="R90" s="37" t="s">
        <v>195</v>
      </c>
      <c r="S90" s="27">
        <v>325</v>
      </c>
      <c r="T90" s="28" t="s">
        <v>375</v>
      </c>
      <c r="U90" s="37" t="s">
        <v>195</v>
      </c>
    </row>
    <row r="91" spans="1:21" s="41" customFormat="1" ht="12" customHeight="1">
      <c r="A91" s="41" t="s">
        <v>194</v>
      </c>
      <c r="B91" s="41" t="s">
        <v>279</v>
      </c>
      <c r="C91" s="19">
        <v>85</v>
      </c>
      <c r="D91" s="19" t="s">
        <v>121</v>
      </c>
      <c r="E91" s="16">
        <f t="shared" si="3"/>
        <v>136</v>
      </c>
      <c r="F91" s="63" t="s">
        <v>192</v>
      </c>
      <c r="G91" s="63">
        <v>0.85</v>
      </c>
      <c r="H91" s="57">
        <v>0.341</v>
      </c>
      <c r="I91" s="16">
        <v>57</v>
      </c>
      <c r="J91" s="16">
        <v>65</v>
      </c>
      <c r="K91" s="35">
        <v>58</v>
      </c>
      <c r="L91" s="16">
        <f>AVERAGE(260,355,330,360,251,325,310,255)</f>
        <v>305.75</v>
      </c>
      <c r="M91" s="43" t="s">
        <v>781</v>
      </c>
      <c r="N91" s="16">
        <f>AVERAGE(405,467,380,500,470,361,361,417,440)</f>
        <v>422.3333333333333</v>
      </c>
      <c r="O91" s="19" t="s">
        <v>781</v>
      </c>
      <c r="P91" s="87">
        <v>3674</v>
      </c>
      <c r="Q91" s="19" t="s">
        <v>601</v>
      </c>
      <c r="R91" s="35" t="s">
        <v>35</v>
      </c>
      <c r="S91" s="87">
        <v>550</v>
      </c>
      <c r="T91" s="19" t="s">
        <v>466</v>
      </c>
      <c r="U91" s="43" t="s">
        <v>195</v>
      </c>
    </row>
    <row r="92" spans="1:21" s="41" customFormat="1" ht="12" customHeight="1">
      <c r="A92" s="62" t="s">
        <v>194</v>
      </c>
      <c r="B92" s="62" t="s">
        <v>280</v>
      </c>
      <c r="C92" s="19">
        <v>135</v>
      </c>
      <c r="D92" s="19" t="s">
        <v>202</v>
      </c>
      <c r="E92" s="16">
        <f t="shared" si="3"/>
        <v>216</v>
      </c>
      <c r="F92" s="71" t="s">
        <v>192</v>
      </c>
      <c r="G92" s="63">
        <v>1.5</v>
      </c>
      <c r="H92" s="57">
        <v>0.444</v>
      </c>
      <c r="I92" s="16">
        <v>86</v>
      </c>
      <c r="J92" s="16">
        <v>67</v>
      </c>
      <c r="K92" s="16">
        <v>58</v>
      </c>
      <c r="L92" s="26">
        <f>AVERAGE(150,115,130,224,103,130,130,130)</f>
        <v>139</v>
      </c>
      <c r="M92" s="19" t="s">
        <v>667</v>
      </c>
      <c r="N92" s="26">
        <f>AVERAGE(170,160,181,213,192,178,182,207,225)</f>
        <v>189.77777777777777</v>
      </c>
      <c r="O92" s="19" t="s">
        <v>781</v>
      </c>
      <c r="P92" s="26">
        <v>125</v>
      </c>
      <c r="Q92" s="19" t="s">
        <v>466</v>
      </c>
      <c r="R92" s="16" t="s">
        <v>41</v>
      </c>
      <c r="S92" s="26" t="s">
        <v>20</v>
      </c>
      <c r="T92" s="19" t="s">
        <v>20</v>
      </c>
      <c r="U92" s="35" t="s">
        <v>20</v>
      </c>
    </row>
    <row r="93" spans="1:21" s="41" customFormat="1" ht="12" customHeight="1">
      <c r="A93" s="64" t="s">
        <v>194</v>
      </c>
      <c r="B93" s="64" t="s">
        <v>403</v>
      </c>
      <c r="C93" s="45">
        <v>500</v>
      </c>
      <c r="D93" s="45" t="s">
        <v>201</v>
      </c>
      <c r="E93" s="28">
        <f t="shared" si="3"/>
        <v>800</v>
      </c>
      <c r="F93" s="70" t="s">
        <v>192</v>
      </c>
      <c r="G93" s="60">
        <v>10</v>
      </c>
      <c r="H93" s="61">
        <v>3.5</v>
      </c>
      <c r="I93" s="28" t="s">
        <v>20</v>
      </c>
      <c r="J93" s="28" t="s">
        <v>20</v>
      </c>
      <c r="K93" s="28">
        <v>46</v>
      </c>
      <c r="L93" s="27">
        <f>AVERAGE(415,525,455,505,439,560)</f>
        <v>483.1666666666667</v>
      </c>
      <c r="M93" s="25" t="s">
        <v>601</v>
      </c>
      <c r="N93" s="27">
        <f>AVERAGE(739,610,667,560,773,687)</f>
        <v>672.6666666666666</v>
      </c>
      <c r="O93" s="25" t="s">
        <v>508</v>
      </c>
      <c r="P93" s="27">
        <v>800</v>
      </c>
      <c r="Q93" s="25" t="s">
        <v>781</v>
      </c>
      <c r="R93" s="28" t="s">
        <v>39</v>
      </c>
      <c r="S93" s="27" t="s">
        <v>20</v>
      </c>
      <c r="T93" s="25" t="s">
        <v>20</v>
      </c>
      <c r="U93" s="37" t="s">
        <v>20</v>
      </c>
    </row>
    <row r="94" spans="1:21" s="41" customFormat="1" ht="12" customHeight="1">
      <c r="A94" s="143" t="s">
        <v>635</v>
      </c>
      <c r="B94" s="74"/>
      <c r="C94" s="30"/>
      <c r="D94" s="75"/>
      <c r="E94" s="30"/>
      <c r="F94" s="78"/>
      <c r="G94" s="76" t="s">
        <v>20</v>
      </c>
      <c r="H94" s="77" t="s">
        <v>20</v>
      </c>
      <c r="I94" s="30" t="s">
        <v>20</v>
      </c>
      <c r="J94" s="30" t="s">
        <v>20</v>
      </c>
      <c r="K94" s="30" t="s">
        <v>20</v>
      </c>
      <c r="L94" s="30" t="s">
        <v>20</v>
      </c>
      <c r="M94" s="30" t="s">
        <v>20</v>
      </c>
      <c r="N94" s="30" t="s">
        <v>20</v>
      </c>
      <c r="O94" s="30" t="s">
        <v>20</v>
      </c>
      <c r="P94" s="30" t="s">
        <v>20</v>
      </c>
      <c r="Q94" s="30" t="s">
        <v>20</v>
      </c>
      <c r="R94" s="30" t="s">
        <v>20</v>
      </c>
      <c r="S94" s="30" t="s">
        <v>20</v>
      </c>
      <c r="T94" s="30" t="s">
        <v>20</v>
      </c>
      <c r="U94" s="30" t="s">
        <v>20</v>
      </c>
    </row>
    <row r="95" spans="1:21" s="41" customFormat="1" ht="12" customHeight="1">
      <c r="A95" s="41" t="s">
        <v>194</v>
      </c>
      <c r="B95" s="41" t="s">
        <v>245</v>
      </c>
      <c r="C95" s="19">
        <v>15</v>
      </c>
      <c r="D95" s="19">
        <v>3.5</v>
      </c>
      <c r="E95" s="16">
        <f t="shared" si="2"/>
        <v>24</v>
      </c>
      <c r="F95" s="63" t="s">
        <v>191</v>
      </c>
      <c r="G95" s="63">
        <v>0.3</v>
      </c>
      <c r="H95" s="57">
        <v>0.55</v>
      </c>
      <c r="I95" s="16">
        <v>82</v>
      </c>
      <c r="J95" s="16">
        <v>80</v>
      </c>
      <c r="K95" s="35" t="s">
        <v>152</v>
      </c>
      <c r="L95" s="16">
        <f>AVERAGE(653,537)</f>
        <v>595</v>
      </c>
      <c r="M95" s="43" t="s">
        <v>661</v>
      </c>
      <c r="N95" s="16">
        <f>AVERAGE(975,933,1290,1655,698,760,710,1025)</f>
        <v>1005.75</v>
      </c>
      <c r="O95" s="19" t="s">
        <v>516</v>
      </c>
      <c r="P95" s="26">
        <v>850</v>
      </c>
      <c r="Q95" s="19" t="s">
        <v>751</v>
      </c>
      <c r="R95" s="16" t="s">
        <v>35</v>
      </c>
      <c r="S95" s="26">
        <v>1250</v>
      </c>
      <c r="T95" s="19" t="s">
        <v>731</v>
      </c>
      <c r="U95" s="35" t="s">
        <v>195</v>
      </c>
    </row>
    <row r="96" spans="1:21" s="41" customFormat="1" ht="12" customHeight="1">
      <c r="A96" s="62" t="s">
        <v>194</v>
      </c>
      <c r="B96" s="62" t="s">
        <v>244</v>
      </c>
      <c r="C96" s="19">
        <v>15</v>
      </c>
      <c r="D96" s="19">
        <v>3.5</v>
      </c>
      <c r="E96" s="16">
        <f t="shared" si="2"/>
        <v>24</v>
      </c>
      <c r="F96" s="71" t="s">
        <v>191</v>
      </c>
      <c r="G96" s="63">
        <v>0.3</v>
      </c>
      <c r="H96" s="57">
        <v>0.6</v>
      </c>
      <c r="I96" s="16">
        <v>82</v>
      </c>
      <c r="J96" s="16">
        <v>80</v>
      </c>
      <c r="K96" s="16" t="s">
        <v>152</v>
      </c>
      <c r="L96" s="26">
        <f>AVERAGE(615,620,535,515,408,450)</f>
        <v>523.8333333333334</v>
      </c>
      <c r="M96" s="40" t="s">
        <v>376</v>
      </c>
      <c r="N96" s="26">
        <f>AVERAGE(776,1028,710,600,625,795,1000,750,650)</f>
        <v>770.4444444444445</v>
      </c>
      <c r="O96" s="40" t="s">
        <v>376</v>
      </c>
      <c r="P96" s="26">
        <v>820</v>
      </c>
      <c r="Q96" s="40" t="s">
        <v>781</v>
      </c>
      <c r="R96" s="16" t="s">
        <v>35</v>
      </c>
      <c r="S96" s="26">
        <v>999</v>
      </c>
      <c r="T96" s="40" t="s">
        <v>454</v>
      </c>
      <c r="U96" s="35" t="s">
        <v>38</v>
      </c>
    </row>
    <row r="97" spans="1:21" s="41" customFormat="1" ht="12" customHeight="1">
      <c r="A97" s="62" t="s">
        <v>194</v>
      </c>
      <c r="B97" s="62" t="s">
        <v>468</v>
      </c>
      <c r="C97" s="19">
        <v>15</v>
      </c>
      <c r="D97" s="19">
        <v>3.5</v>
      </c>
      <c r="E97" s="16">
        <f t="shared" si="2"/>
        <v>24</v>
      </c>
      <c r="F97" s="71" t="s">
        <v>196</v>
      </c>
      <c r="G97" s="63">
        <v>0.3</v>
      </c>
      <c r="H97" s="57">
        <v>0.6</v>
      </c>
      <c r="I97" s="16">
        <v>82</v>
      </c>
      <c r="J97" s="16">
        <v>80</v>
      </c>
      <c r="K97" s="16" t="s">
        <v>152</v>
      </c>
      <c r="L97" s="26">
        <f>AVERAGE(1145,685,728,710,796)</f>
        <v>812.8</v>
      </c>
      <c r="M97" s="40" t="s">
        <v>601</v>
      </c>
      <c r="N97" s="26">
        <f>AVERAGE(1330,945,949,935,960,691,730,780,1000,1110)</f>
        <v>943</v>
      </c>
      <c r="O97" s="40" t="s">
        <v>552</v>
      </c>
      <c r="P97" s="26">
        <v>820</v>
      </c>
      <c r="Q97" s="40" t="s">
        <v>553</v>
      </c>
      <c r="R97" s="16" t="s">
        <v>35</v>
      </c>
      <c r="S97" s="26">
        <v>1000</v>
      </c>
      <c r="T97" s="40" t="s">
        <v>781</v>
      </c>
      <c r="U97" s="35" t="s">
        <v>38</v>
      </c>
    </row>
    <row r="98" spans="1:21" s="41" customFormat="1" ht="12" customHeight="1">
      <c r="A98" s="62" t="s">
        <v>194</v>
      </c>
      <c r="B98" s="62" t="s">
        <v>617</v>
      </c>
      <c r="C98" s="19">
        <v>16</v>
      </c>
      <c r="D98" s="19">
        <v>2.8</v>
      </c>
      <c r="E98" s="16">
        <f t="shared" si="2"/>
        <v>25.6</v>
      </c>
      <c r="F98" s="71" t="s">
        <v>196</v>
      </c>
      <c r="G98" s="63">
        <v>0.2</v>
      </c>
      <c r="H98" s="57">
        <v>0.32</v>
      </c>
      <c r="I98" s="16">
        <v>56</v>
      </c>
      <c r="J98" s="16">
        <v>65</v>
      </c>
      <c r="K98" s="16" t="s">
        <v>152</v>
      </c>
      <c r="L98" s="26">
        <f>AVERAGE(408)</f>
        <v>408</v>
      </c>
      <c r="M98" s="40" t="s">
        <v>454</v>
      </c>
      <c r="N98" s="26">
        <f>AVERAGE(603,600)</f>
        <v>601.5</v>
      </c>
      <c r="O98" s="40" t="s">
        <v>667</v>
      </c>
      <c r="P98" s="26">
        <v>485</v>
      </c>
      <c r="Q98" s="40" t="s">
        <v>781</v>
      </c>
      <c r="R98" s="16" t="s">
        <v>35</v>
      </c>
      <c r="S98" s="26">
        <v>600</v>
      </c>
      <c r="T98" s="40" t="s">
        <v>751</v>
      </c>
      <c r="U98" s="35" t="s">
        <v>35</v>
      </c>
    </row>
    <row r="99" spans="1:21" s="41" customFormat="1" ht="12" customHeight="1">
      <c r="A99" s="41" t="s">
        <v>194</v>
      </c>
      <c r="B99" s="41" t="s">
        <v>618</v>
      </c>
      <c r="C99" s="19">
        <v>17</v>
      </c>
      <c r="D99" s="19">
        <v>4</v>
      </c>
      <c r="E99" s="16">
        <f>1.6*C99</f>
        <v>27.200000000000003</v>
      </c>
      <c r="F99" s="63" t="s">
        <v>191</v>
      </c>
      <c r="G99" s="63">
        <v>0.2</v>
      </c>
      <c r="H99" s="57">
        <v>0.235</v>
      </c>
      <c r="I99" s="16">
        <v>34</v>
      </c>
      <c r="J99" s="16">
        <v>65</v>
      </c>
      <c r="K99" s="35" t="s">
        <v>152</v>
      </c>
      <c r="L99" s="16">
        <f>AVERAGE(231,278,306)</f>
        <v>271.6666666666667</v>
      </c>
      <c r="M99" s="43" t="s">
        <v>470</v>
      </c>
      <c r="N99" s="16">
        <f>AVERAGE(356,339,372,400,425,466,350,373,295)</f>
        <v>375.1111111111111</v>
      </c>
      <c r="O99" s="19" t="s">
        <v>601</v>
      </c>
      <c r="P99" s="87">
        <v>325</v>
      </c>
      <c r="Q99" s="19" t="s">
        <v>720</v>
      </c>
      <c r="R99" s="35" t="s">
        <v>35</v>
      </c>
      <c r="S99" s="87">
        <v>410</v>
      </c>
      <c r="T99" s="19" t="s">
        <v>720</v>
      </c>
      <c r="U99" s="43" t="s">
        <v>33</v>
      </c>
    </row>
    <row r="100" spans="1:21" s="41" customFormat="1" ht="12" customHeight="1">
      <c r="A100" s="62" t="s">
        <v>194</v>
      </c>
      <c r="B100" s="62" t="s">
        <v>278</v>
      </c>
      <c r="C100" s="19">
        <v>18</v>
      </c>
      <c r="D100" s="19">
        <v>3.5</v>
      </c>
      <c r="E100" s="16">
        <f t="shared" si="2"/>
        <v>28.8</v>
      </c>
      <c r="F100" s="71" t="s">
        <v>191</v>
      </c>
      <c r="G100" s="63">
        <v>0.25</v>
      </c>
      <c r="H100" s="57">
        <v>0.295</v>
      </c>
      <c r="I100" s="16">
        <v>62</v>
      </c>
      <c r="J100" s="16">
        <v>63</v>
      </c>
      <c r="K100" s="16">
        <v>58</v>
      </c>
      <c r="L100" s="26">
        <f>AVERAGE(493,464,538,394,355,822,600,664,558)</f>
        <v>543.1111111111111</v>
      </c>
      <c r="M100" s="40" t="s">
        <v>447</v>
      </c>
      <c r="N100" s="26">
        <f>AVERAGE(670,555,560,559)</f>
        <v>586</v>
      </c>
      <c r="O100" s="40" t="s">
        <v>661</v>
      </c>
      <c r="P100" s="26">
        <v>819</v>
      </c>
      <c r="Q100" s="40" t="s">
        <v>552</v>
      </c>
      <c r="R100" s="16" t="s">
        <v>35</v>
      </c>
      <c r="S100" s="26">
        <v>925</v>
      </c>
      <c r="T100" s="40" t="s">
        <v>731</v>
      </c>
      <c r="U100" s="35" t="s">
        <v>195</v>
      </c>
    </row>
    <row r="101" spans="1:21" ht="12" customHeight="1">
      <c r="A101" s="64" t="s">
        <v>194</v>
      </c>
      <c r="B101" s="64" t="s">
        <v>380</v>
      </c>
      <c r="C101" s="28">
        <v>20</v>
      </c>
      <c r="D101" s="45">
        <v>2.8</v>
      </c>
      <c r="E101" s="28">
        <f>1.6*C101</f>
        <v>32</v>
      </c>
      <c r="F101" s="94" t="s">
        <v>196</v>
      </c>
      <c r="G101" s="60">
        <v>0.25</v>
      </c>
      <c r="H101" s="61">
        <v>0.245</v>
      </c>
      <c r="I101" s="28">
        <v>43.5</v>
      </c>
      <c r="J101" s="28">
        <v>70</v>
      </c>
      <c r="K101" s="37">
        <v>67</v>
      </c>
      <c r="L101" s="28">
        <f>AVERAGE(481,450,450,430,355)</f>
        <v>433.2</v>
      </c>
      <c r="M101" s="28" t="s">
        <v>661</v>
      </c>
      <c r="N101" s="27">
        <f>AVERAGE(550,430,430,443,450,450,470)</f>
        <v>460.42857142857144</v>
      </c>
      <c r="O101" s="28" t="s">
        <v>536</v>
      </c>
      <c r="P101" s="27">
        <v>570</v>
      </c>
      <c r="Q101" s="28" t="s">
        <v>661</v>
      </c>
      <c r="R101" s="37" t="s">
        <v>35</v>
      </c>
      <c r="S101" s="27" t="s">
        <v>20</v>
      </c>
      <c r="T101" s="28" t="s">
        <v>20</v>
      </c>
      <c r="U101" s="37" t="s">
        <v>20</v>
      </c>
    </row>
    <row r="102" spans="1:21" ht="12" customHeight="1">
      <c r="A102" s="64" t="s">
        <v>194</v>
      </c>
      <c r="B102" s="64" t="s">
        <v>381</v>
      </c>
      <c r="C102" s="28">
        <v>28</v>
      </c>
      <c r="D102" s="45">
        <v>3.5</v>
      </c>
      <c r="E102" s="28">
        <f t="shared" si="2"/>
        <v>44.800000000000004</v>
      </c>
      <c r="F102" s="94" t="s">
        <v>191</v>
      </c>
      <c r="G102" s="60">
        <v>0.3</v>
      </c>
      <c r="H102" s="61">
        <v>0.611</v>
      </c>
      <c r="I102" s="28">
        <v>93</v>
      </c>
      <c r="J102" s="28">
        <v>80</v>
      </c>
      <c r="K102" s="37" t="s">
        <v>203</v>
      </c>
      <c r="L102" s="28">
        <f>AVERAGE(499,498,510,598,590,508,490,520,590)</f>
        <v>533.6666666666666</v>
      </c>
      <c r="M102" s="28" t="s">
        <v>667</v>
      </c>
      <c r="N102" s="27">
        <f>AVERAGE(796,859,700,765,600)</f>
        <v>744</v>
      </c>
      <c r="O102" s="28" t="s">
        <v>704</v>
      </c>
      <c r="P102" s="27">
        <v>595</v>
      </c>
      <c r="Q102" s="28" t="s">
        <v>496</v>
      </c>
      <c r="R102" s="37" t="s">
        <v>41</v>
      </c>
      <c r="S102" s="27">
        <v>825</v>
      </c>
      <c r="T102" s="28" t="s">
        <v>731</v>
      </c>
      <c r="U102" s="37" t="s">
        <v>195</v>
      </c>
    </row>
    <row r="103" spans="1:21" s="41" customFormat="1" ht="12" customHeight="1">
      <c r="A103" s="62" t="s">
        <v>194</v>
      </c>
      <c r="B103" s="62" t="s">
        <v>382</v>
      </c>
      <c r="C103" s="19">
        <v>50</v>
      </c>
      <c r="D103" s="19">
        <v>1.2</v>
      </c>
      <c r="E103" s="16">
        <f t="shared" si="2"/>
        <v>80</v>
      </c>
      <c r="F103" s="71" t="s">
        <v>191</v>
      </c>
      <c r="G103" s="63">
        <v>0.45</v>
      </c>
      <c r="H103" s="57">
        <v>0.385</v>
      </c>
      <c r="I103" s="16">
        <v>49</v>
      </c>
      <c r="J103" s="16">
        <v>65</v>
      </c>
      <c r="K103" s="16">
        <v>52</v>
      </c>
      <c r="L103" s="26">
        <f>AVERAGE(320,316,283,310,300)</f>
        <v>305.8</v>
      </c>
      <c r="M103" s="40" t="s">
        <v>781</v>
      </c>
      <c r="N103" s="26">
        <f>AVERAGE(400,366,400,422,340,365,305)</f>
        <v>371.14285714285717</v>
      </c>
      <c r="O103" s="40" t="s">
        <v>781</v>
      </c>
      <c r="P103" s="26">
        <v>429</v>
      </c>
      <c r="Q103" s="40" t="s">
        <v>720</v>
      </c>
      <c r="R103" s="16" t="s">
        <v>35</v>
      </c>
      <c r="S103" s="26">
        <v>425</v>
      </c>
      <c r="T103" s="40" t="s">
        <v>731</v>
      </c>
      <c r="U103" s="35" t="s">
        <v>195</v>
      </c>
    </row>
    <row r="104" spans="1:21" s="41" customFormat="1" ht="12" customHeight="1">
      <c r="A104" s="62" t="s">
        <v>194</v>
      </c>
      <c r="B104" s="62" t="s">
        <v>383</v>
      </c>
      <c r="C104" s="19">
        <v>50</v>
      </c>
      <c r="D104" s="19">
        <v>1.2</v>
      </c>
      <c r="E104" s="16">
        <f t="shared" si="2"/>
        <v>80</v>
      </c>
      <c r="F104" s="71" t="s">
        <v>196</v>
      </c>
      <c r="G104" s="63">
        <v>0.45</v>
      </c>
      <c r="H104" s="57">
        <v>0.345</v>
      </c>
      <c r="I104" s="16">
        <v>49</v>
      </c>
      <c r="J104" s="16">
        <v>65</v>
      </c>
      <c r="K104" s="16">
        <v>52</v>
      </c>
      <c r="L104" s="26">
        <f>AVERAGE(406,432,412,426,417,407,420,442,395)</f>
        <v>417.44444444444446</v>
      </c>
      <c r="M104" s="40" t="s">
        <v>781</v>
      </c>
      <c r="N104" s="26">
        <f>AVERAGE(510,625,511,519,537,520,508,469,489)</f>
        <v>520.8888888888889</v>
      </c>
      <c r="O104" s="40" t="s">
        <v>731</v>
      </c>
      <c r="P104" s="26">
        <v>465</v>
      </c>
      <c r="Q104" s="40" t="s">
        <v>525</v>
      </c>
      <c r="R104" s="16" t="s">
        <v>35</v>
      </c>
      <c r="S104" s="26">
        <v>569</v>
      </c>
      <c r="T104" s="40" t="s">
        <v>466</v>
      </c>
      <c r="U104" s="35" t="s">
        <v>35</v>
      </c>
    </row>
    <row r="105" spans="1:21" s="41" customFormat="1" ht="12" customHeight="1">
      <c r="A105" s="62" t="s">
        <v>194</v>
      </c>
      <c r="B105" s="62" t="s">
        <v>384</v>
      </c>
      <c r="C105" s="19">
        <v>50</v>
      </c>
      <c r="D105" s="19">
        <v>1.4</v>
      </c>
      <c r="E105" s="16">
        <f t="shared" si="2"/>
        <v>80</v>
      </c>
      <c r="F105" s="71" t="s">
        <v>196</v>
      </c>
      <c r="G105" s="63">
        <v>0.45</v>
      </c>
      <c r="H105" s="57">
        <v>0.265</v>
      </c>
      <c r="I105" s="16">
        <v>37</v>
      </c>
      <c r="J105" s="16">
        <v>63</v>
      </c>
      <c r="K105" s="16">
        <v>49</v>
      </c>
      <c r="L105" s="26">
        <f>AVERAGE(130,108,150,125,148,160,148,144,134,125)</f>
        <v>137.2</v>
      </c>
      <c r="M105" s="40" t="s">
        <v>781</v>
      </c>
      <c r="N105" s="26">
        <f>AVERAGE(160,178,150,210,147,160,170,158)</f>
        <v>166.625</v>
      </c>
      <c r="O105" s="40" t="s">
        <v>781</v>
      </c>
      <c r="P105" s="26">
        <v>254</v>
      </c>
      <c r="Q105" s="40" t="s">
        <v>731</v>
      </c>
      <c r="R105" s="16" t="s">
        <v>35</v>
      </c>
      <c r="S105" s="26">
        <v>300</v>
      </c>
      <c r="T105" s="40" t="s">
        <v>667</v>
      </c>
      <c r="U105" s="35" t="s">
        <v>35</v>
      </c>
    </row>
    <row r="106" spans="1:21" s="41" customFormat="1" ht="12" customHeight="1">
      <c r="A106" s="64" t="s">
        <v>194</v>
      </c>
      <c r="B106" s="64" t="s">
        <v>574</v>
      </c>
      <c r="C106" s="45">
        <v>50</v>
      </c>
      <c r="D106" s="45">
        <v>1.7</v>
      </c>
      <c r="E106" s="28">
        <f t="shared" si="2"/>
        <v>80</v>
      </c>
      <c r="F106" s="70" t="s">
        <v>196</v>
      </c>
      <c r="G106" s="60">
        <v>0.45</v>
      </c>
      <c r="H106" s="61">
        <v>0.185</v>
      </c>
      <c r="I106" s="28">
        <v>31</v>
      </c>
      <c r="J106" s="28">
        <v>63</v>
      </c>
      <c r="K106" s="28">
        <v>49</v>
      </c>
      <c r="L106" s="27">
        <f>AVERAGE(71,71,88,70,40,73,84,83,66,63,61)</f>
        <v>70</v>
      </c>
      <c r="M106" s="25" t="s">
        <v>751</v>
      </c>
      <c r="N106" s="27">
        <f>AVERAGE(129,104,123,109,100,117,110)</f>
        <v>113.14285714285714</v>
      </c>
      <c r="O106" s="25" t="s">
        <v>781</v>
      </c>
      <c r="P106" s="27">
        <v>70</v>
      </c>
      <c r="Q106" s="25" t="s">
        <v>781</v>
      </c>
      <c r="R106" s="28" t="s">
        <v>41</v>
      </c>
      <c r="S106" s="27" t="s">
        <v>20</v>
      </c>
      <c r="T106" s="25" t="s">
        <v>20</v>
      </c>
      <c r="U106" s="37" t="s">
        <v>20</v>
      </c>
    </row>
    <row r="107" spans="1:21" s="41" customFormat="1" ht="12" customHeight="1">
      <c r="A107" s="143" t="s">
        <v>634</v>
      </c>
      <c r="B107" s="74"/>
      <c r="C107" s="30"/>
      <c r="D107" s="75" t="s">
        <v>20</v>
      </c>
      <c r="E107" s="30" t="s">
        <v>20</v>
      </c>
      <c r="F107" s="78" t="s">
        <v>20</v>
      </c>
      <c r="G107" s="76" t="s">
        <v>20</v>
      </c>
      <c r="H107" s="77" t="s">
        <v>20</v>
      </c>
      <c r="I107" s="30" t="s">
        <v>20</v>
      </c>
      <c r="J107" s="30" t="s">
        <v>20</v>
      </c>
      <c r="K107" s="30" t="s">
        <v>20</v>
      </c>
      <c r="L107" s="30" t="s">
        <v>20</v>
      </c>
      <c r="M107" s="30" t="s">
        <v>20</v>
      </c>
      <c r="N107" s="30" t="s">
        <v>20</v>
      </c>
      <c r="O107" s="30" t="s">
        <v>20</v>
      </c>
      <c r="P107" s="30" t="s">
        <v>20</v>
      </c>
      <c r="Q107" s="30" t="s">
        <v>20</v>
      </c>
      <c r="R107" s="30" t="s">
        <v>20</v>
      </c>
      <c r="S107" s="30" t="s">
        <v>20</v>
      </c>
      <c r="T107" s="30" t="s">
        <v>20</v>
      </c>
      <c r="U107" s="30" t="s">
        <v>20</v>
      </c>
    </row>
    <row r="108" spans="1:21" s="41" customFormat="1" ht="12" customHeight="1">
      <c r="A108" s="62" t="s">
        <v>194</v>
      </c>
      <c r="B108" s="62" t="s">
        <v>387</v>
      </c>
      <c r="C108" s="19">
        <v>85</v>
      </c>
      <c r="D108" s="19">
        <v>1.4</v>
      </c>
      <c r="E108" s="16">
        <f t="shared" si="2"/>
        <v>136</v>
      </c>
      <c r="F108" s="71" t="s">
        <v>196</v>
      </c>
      <c r="G108" s="63">
        <v>0.85</v>
      </c>
      <c r="H108" s="57">
        <v>0.555</v>
      </c>
      <c r="I108" s="16">
        <v>66</v>
      </c>
      <c r="J108" s="16">
        <v>74</v>
      </c>
      <c r="K108" s="16">
        <v>67</v>
      </c>
      <c r="L108" s="26">
        <f>AVERAGE(920,699,870,1050,899)</f>
        <v>887.6</v>
      </c>
      <c r="M108" s="40" t="s">
        <v>781</v>
      </c>
      <c r="N108" s="26">
        <f>AVERAGE(1149,1100,1026,1000,1000,1585,1133,1240,1225)</f>
        <v>1162</v>
      </c>
      <c r="O108" s="40" t="s">
        <v>541</v>
      </c>
      <c r="P108" s="26">
        <v>1500</v>
      </c>
      <c r="Q108" s="40" t="s">
        <v>494</v>
      </c>
      <c r="R108" s="16" t="s">
        <v>38</v>
      </c>
      <c r="S108" s="26">
        <v>1650</v>
      </c>
      <c r="T108" s="40" t="s">
        <v>466</v>
      </c>
      <c r="U108" s="35" t="s">
        <v>195</v>
      </c>
    </row>
    <row r="109" spans="1:21" s="41" customFormat="1" ht="12" customHeight="1">
      <c r="A109" s="62" t="s">
        <v>194</v>
      </c>
      <c r="B109" s="62" t="s">
        <v>385</v>
      </c>
      <c r="C109" s="19">
        <v>85</v>
      </c>
      <c r="D109" s="19">
        <v>1.8</v>
      </c>
      <c r="E109" s="16">
        <f aca="true" t="shared" si="4" ref="E109:E127">1.6*C109</f>
        <v>136</v>
      </c>
      <c r="F109" s="71" t="s">
        <v>191</v>
      </c>
      <c r="G109" s="63">
        <v>0.85</v>
      </c>
      <c r="H109" s="57">
        <v>0.331</v>
      </c>
      <c r="I109" s="16">
        <v>56</v>
      </c>
      <c r="J109" s="16">
        <v>64</v>
      </c>
      <c r="K109" s="16">
        <v>52</v>
      </c>
      <c r="L109" s="26">
        <f>AVERAGE(417,419,406,340,413,334,428,410)</f>
        <v>395.875</v>
      </c>
      <c r="M109" s="40" t="s">
        <v>523</v>
      </c>
      <c r="N109" s="26">
        <f>AVERAGE(424,420,455,512,392,394,400,473,394)</f>
        <v>429.3333333333333</v>
      </c>
      <c r="O109" s="40" t="s">
        <v>731</v>
      </c>
      <c r="P109" s="26">
        <v>429</v>
      </c>
      <c r="Q109" s="40" t="s">
        <v>523</v>
      </c>
      <c r="R109" s="16" t="s">
        <v>35</v>
      </c>
      <c r="S109" s="26">
        <v>645</v>
      </c>
      <c r="T109" s="40" t="s">
        <v>553</v>
      </c>
      <c r="U109" s="35" t="s">
        <v>35</v>
      </c>
    </row>
    <row r="110" spans="1:21" s="41" customFormat="1" ht="12" customHeight="1">
      <c r="A110" s="62" t="s">
        <v>194</v>
      </c>
      <c r="B110" s="62" t="s">
        <v>722</v>
      </c>
      <c r="C110" s="19">
        <v>85</v>
      </c>
      <c r="D110" s="19">
        <v>2.2</v>
      </c>
      <c r="E110" s="16">
        <f t="shared" si="4"/>
        <v>136</v>
      </c>
      <c r="F110" s="71" t="s">
        <v>191</v>
      </c>
      <c r="G110" s="63">
        <v>0.57</v>
      </c>
      <c r="H110" s="57">
        <v>0.235</v>
      </c>
      <c r="I110" s="16">
        <v>72</v>
      </c>
      <c r="J110" s="16">
        <v>52</v>
      </c>
      <c r="K110" s="19">
        <v>49</v>
      </c>
      <c r="L110" s="26">
        <f>AVERAGE(0)</f>
        <v>0</v>
      </c>
      <c r="M110" s="40" t="s">
        <v>20</v>
      </c>
      <c r="N110" s="26">
        <f>AVERAGE(238)</f>
        <v>238</v>
      </c>
      <c r="O110" s="40" t="s">
        <v>601</v>
      </c>
      <c r="P110" s="26" t="s">
        <v>20</v>
      </c>
      <c r="Q110" s="40" t="s">
        <v>20</v>
      </c>
      <c r="R110" s="16" t="s">
        <v>20</v>
      </c>
      <c r="S110" s="26">
        <v>350</v>
      </c>
      <c r="T110" s="40" t="s">
        <v>454</v>
      </c>
      <c r="U110" s="35" t="s">
        <v>195</v>
      </c>
    </row>
    <row r="111" spans="1:21" s="41" customFormat="1" ht="12" customHeight="1">
      <c r="A111" s="62" t="s">
        <v>194</v>
      </c>
      <c r="B111" s="62" t="s">
        <v>386</v>
      </c>
      <c r="C111" s="19">
        <v>100</v>
      </c>
      <c r="D111" s="19">
        <v>2.8</v>
      </c>
      <c r="E111" s="16">
        <f t="shared" si="4"/>
        <v>160</v>
      </c>
      <c r="F111" s="71" t="s">
        <v>196</v>
      </c>
      <c r="G111" s="63">
        <v>0.31</v>
      </c>
      <c r="H111" s="57">
        <v>0.47</v>
      </c>
      <c r="I111" s="16">
        <v>93</v>
      </c>
      <c r="J111" s="16">
        <v>74</v>
      </c>
      <c r="K111" s="16">
        <v>58</v>
      </c>
      <c r="L111" s="26">
        <f>AVERAGE(566)</f>
        <v>566</v>
      </c>
      <c r="M111" s="40" t="s">
        <v>751</v>
      </c>
      <c r="N111" s="26">
        <f>AVERAGE(711,760,938)</f>
        <v>803</v>
      </c>
      <c r="O111" s="40" t="s">
        <v>781</v>
      </c>
      <c r="P111" s="26">
        <v>665</v>
      </c>
      <c r="Q111" s="40" t="s">
        <v>781</v>
      </c>
      <c r="R111" s="16" t="s">
        <v>35</v>
      </c>
      <c r="S111" s="26">
        <v>975</v>
      </c>
      <c r="T111" s="40" t="s">
        <v>731</v>
      </c>
      <c r="U111" s="35" t="s">
        <v>195</v>
      </c>
    </row>
    <row r="112" spans="1:21" s="41" customFormat="1" ht="12" customHeight="1">
      <c r="A112" s="62" t="s">
        <v>194</v>
      </c>
      <c r="B112" s="62" t="s">
        <v>672</v>
      </c>
      <c r="C112" s="19">
        <v>105</v>
      </c>
      <c r="D112" s="19">
        <v>2.8</v>
      </c>
      <c r="E112" s="16">
        <f t="shared" si="4"/>
        <v>168</v>
      </c>
      <c r="F112" s="71" t="s">
        <v>191</v>
      </c>
      <c r="G112" s="63">
        <v>1.2</v>
      </c>
      <c r="H112" s="57">
        <v>0.304</v>
      </c>
      <c r="I112" s="16">
        <v>63</v>
      </c>
      <c r="J112" s="16">
        <v>63</v>
      </c>
      <c r="K112" s="16">
        <v>52</v>
      </c>
      <c r="L112" s="26">
        <v>210</v>
      </c>
      <c r="M112" s="40" t="s">
        <v>669</v>
      </c>
      <c r="N112" s="26">
        <v>255</v>
      </c>
      <c r="O112" s="40" t="s">
        <v>670</v>
      </c>
      <c r="P112" s="26">
        <v>250</v>
      </c>
      <c r="Q112" s="40" t="s">
        <v>671</v>
      </c>
      <c r="R112" s="16" t="s">
        <v>195</v>
      </c>
      <c r="S112" s="26" t="s">
        <v>20</v>
      </c>
      <c r="T112" s="40" t="s">
        <v>20</v>
      </c>
      <c r="U112" s="35" t="s">
        <v>20</v>
      </c>
    </row>
    <row r="113" spans="1:21" s="41" customFormat="1" ht="12" customHeight="1">
      <c r="A113" s="62" t="s">
        <v>194</v>
      </c>
      <c r="B113" s="62" t="s">
        <v>388</v>
      </c>
      <c r="C113" s="19">
        <v>135</v>
      </c>
      <c r="D113" s="19">
        <v>1.8</v>
      </c>
      <c r="E113" s="16">
        <f t="shared" si="4"/>
        <v>216</v>
      </c>
      <c r="F113" s="71" t="s">
        <v>196</v>
      </c>
      <c r="G113" s="63">
        <v>1.2</v>
      </c>
      <c r="H113" s="57">
        <v>0.865</v>
      </c>
      <c r="I113" s="16">
        <v>98</v>
      </c>
      <c r="J113" s="16">
        <v>80</v>
      </c>
      <c r="K113" s="16">
        <v>77</v>
      </c>
      <c r="L113" s="26">
        <f>AVERAGE(0)</f>
        <v>0</v>
      </c>
      <c r="M113" s="40" t="s">
        <v>20</v>
      </c>
      <c r="N113" s="26">
        <f>AVERAGE(2225,1700)</f>
        <v>1962.5</v>
      </c>
      <c r="O113" s="40" t="s">
        <v>731</v>
      </c>
      <c r="P113" s="26" t="s">
        <v>20</v>
      </c>
      <c r="Q113" s="40" t="s">
        <v>20</v>
      </c>
      <c r="R113" s="16" t="s">
        <v>20</v>
      </c>
      <c r="S113" s="26">
        <v>1950</v>
      </c>
      <c r="T113" s="40" t="s">
        <v>376</v>
      </c>
      <c r="U113" s="35" t="s">
        <v>195</v>
      </c>
    </row>
    <row r="114" spans="1:21" s="41" customFormat="1" ht="12" customHeight="1">
      <c r="A114" s="62" t="s">
        <v>194</v>
      </c>
      <c r="B114" s="62" t="s">
        <v>389</v>
      </c>
      <c r="C114" s="19">
        <v>135</v>
      </c>
      <c r="D114" s="19">
        <v>2.5</v>
      </c>
      <c r="E114" s="16">
        <f t="shared" si="4"/>
        <v>216</v>
      </c>
      <c r="F114" s="71" t="s">
        <v>191</v>
      </c>
      <c r="G114" s="63">
        <v>1.5</v>
      </c>
      <c r="H114" s="57">
        <v>0.5</v>
      </c>
      <c r="I114" s="16">
        <v>86</v>
      </c>
      <c r="J114" s="16">
        <v>68</v>
      </c>
      <c r="K114" s="16">
        <v>58</v>
      </c>
      <c r="L114" s="26">
        <f>AVERAGE(210,165,156,155,200,140,116,141,216,248,173)</f>
        <v>174.54545454545453</v>
      </c>
      <c r="M114" s="40" t="s">
        <v>781</v>
      </c>
      <c r="N114" s="26">
        <f>AVERAGE(249,239,241,203,239,265,252,251,200)</f>
        <v>237.66666666666666</v>
      </c>
      <c r="O114" s="40" t="s">
        <v>731</v>
      </c>
      <c r="P114" s="26">
        <v>165</v>
      </c>
      <c r="Q114" s="40" t="s">
        <v>781</v>
      </c>
      <c r="R114" s="16" t="s">
        <v>35</v>
      </c>
      <c r="S114" s="26">
        <v>395</v>
      </c>
      <c r="T114" s="40" t="s">
        <v>731</v>
      </c>
      <c r="U114" s="35" t="s">
        <v>195</v>
      </c>
    </row>
    <row r="115" spans="1:21" ht="12" customHeight="1">
      <c r="A115" s="64" t="s">
        <v>194</v>
      </c>
      <c r="B115" s="64" t="s">
        <v>390</v>
      </c>
      <c r="C115" s="28">
        <v>135</v>
      </c>
      <c r="D115" s="45">
        <v>3.5</v>
      </c>
      <c r="E115" s="28">
        <f t="shared" si="4"/>
        <v>216</v>
      </c>
      <c r="F115" s="94" t="s">
        <v>191</v>
      </c>
      <c r="G115" s="60">
        <v>1.5</v>
      </c>
      <c r="H115" s="61">
        <v>0.27</v>
      </c>
      <c r="I115" s="28">
        <v>66</v>
      </c>
      <c r="J115" s="28">
        <v>63</v>
      </c>
      <c r="K115" s="37">
        <v>49</v>
      </c>
      <c r="L115" s="28">
        <f>AVERAGE(47,63,55,46,50)</f>
        <v>52.2</v>
      </c>
      <c r="M115" s="28" t="s">
        <v>601</v>
      </c>
      <c r="N115" s="27">
        <f>AVERAGE(132,91)</f>
        <v>111.5</v>
      </c>
      <c r="O115" s="28" t="s">
        <v>470</v>
      </c>
      <c r="P115" s="27">
        <v>60</v>
      </c>
      <c r="Q115" s="28" t="s">
        <v>781</v>
      </c>
      <c r="R115" s="37" t="s">
        <v>35</v>
      </c>
      <c r="S115" s="27">
        <v>150</v>
      </c>
      <c r="T115" s="28" t="s">
        <v>731</v>
      </c>
      <c r="U115" s="37" t="s">
        <v>38</v>
      </c>
    </row>
    <row r="116" spans="1:21" s="41" customFormat="1" ht="12" customHeight="1">
      <c r="A116" s="62" t="s">
        <v>194</v>
      </c>
      <c r="B116" s="62" t="s">
        <v>391</v>
      </c>
      <c r="C116" s="19">
        <v>200</v>
      </c>
      <c r="D116" s="19">
        <v>2.5</v>
      </c>
      <c r="E116" s="16">
        <f t="shared" si="4"/>
        <v>320</v>
      </c>
      <c r="F116" s="71" t="s">
        <v>191</v>
      </c>
      <c r="G116" s="63">
        <v>2</v>
      </c>
      <c r="H116" s="57">
        <v>0.95</v>
      </c>
      <c r="I116" s="16">
        <v>145</v>
      </c>
      <c r="J116" s="16">
        <v>89</v>
      </c>
      <c r="K116" s="16">
        <v>77</v>
      </c>
      <c r="L116" s="26">
        <f>AVERAGE(399,407,400,435,450,425)</f>
        <v>419.3333333333333</v>
      </c>
      <c r="M116" s="40" t="s">
        <v>704</v>
      </c>
      <c r="N116" s="26">
        <f>AVERAGE(620,480,650)</f>
        <v>583.3333333333334</v>
      </c>
      <c r="O116" s="40" t="s">
        <v>329</v>
      </c>
      <c r="P116" s="26" t="s">
        <v>20</v>
      </c>
      <c r="Q116" s="40" t="s">
        <v>20</v>
      </c>
      <c r="R116" s="16" t="s">
        <v>20</v>
      </c>
      <c r="S116" s="26">
        <v>795</v>
      </c>
      <c r="T116" s="40" t="s">
        <v>731</v>
      </c>
      <c r="U116" s="35" t="s">
        <v>195</v>
      </c>
    </row>
    <row r="117" spans="1:21" s="41" customFormat="1" ht="12" customHeight="1">
      <c r="A117" s="62" t="s">
        <v>194</v>
      </c>
      <c r="B117" s="62" t="s">
        <v>392</v>
      </c>
      <c r="C117" s="19">
        <v>200</v>
      </c>
      <c r="D117" s="19">
        <v>2.8</v>
      </c>
      <c r="E117" s="16">
        <f t="shared" si="4"/>
        <v>320</v>
      </c>
      <c r="F117" s="71" t="s">
        <v>196</v>
      </c>
      <c r="G117" s="63">
        <v>1.8</v>
      </c>
      <c r="H117" s="57">
        <v>0.85</v>
      </c>
      <c r="I117" s="16">
        <v>138</v>
      </c>
      <c r="J117" s="16">
        <v>91</v>
      </c>
      <c r="K117" s="16">
        <v>77</v>
      </c>
      <c r="L117" s="26">
        <f>AVERAGE(711,755,621,575,480)</f>
        <v>628.4</v>
      </c>
      <c r="M117" s="40" t="s">
        <v>376</v>
      </c>
      <c r="N117" s="26">
        <f>AVERAGE(760,820,801,628,785)</f>
        <v>758.8</v>
      </c>
      <c r="O117" s="40" t="s">
        <v>453</v>
      </c>
      <c r="P117" s="26" t="s">
        <v>20</v>
      </c>
      <c r="Q117" s="40" t="s">
        <v>20</v>
      </c>
      <c r="R117" s="16" t="s">
        <v>20</v>
      </c>
      <c r="S117" s="26" t="s">
        <v>20</v>
      </c>
      <c r="T117" s="40" t="s">
        <v>20</v>
      </c>
      <c r="U117" s="35" t="s">
        <v>20</v>
      </c>
    </row>
    <row r="118" spans="1:21" s="41" customFormat="1" ht="12" customHeight="1">
      <c r="A118" s="62" t="s">
        <v>194</v>
      </c>
      <c r="B118" s="62" t="s">
        <v>393</v>
      </c>
      <c r="C118" s="19">
        <v>200</v>
      </c>
      <c r="D118" s="19">
        <v>4</v>
      </c>
      <c r="E118" s="16">
        <f t="shared" si="4"/>
        <v>320</v>
      </c>
      <c r="F118" s="71" t="s">
        <v>196</v>
      </c>
      <c r="G118" s="63">
        <v>0.55</v>
      </c>
      <c r="H118" s="57">
        <v>0.895</v>
      </c>
      <c r="I118" s="16">
        <v>145</v>
      </c>
      <c r="J118" s="16">
        <v>71</v>
      </c>
      <c r="K118" s="16">
        <v>58</v>
      </c>
      <c r="L118" s="26">
        <f>AVERAGE(2298,1500,1500,1525,1599,1715,1580,1885)</f>
        <v>1700.25</v>
      </c>
      <c r="M118" s="40" t="s">
        <v>781</v>
      </c>
      <c r="N118" s="26">
        <f>AVERAGE(2299,2295,2225,2400,2299,1979,2000)</f>
        <v>2213.8571428571427</v>
      </c>
      <c r="O118" s="40" t="s">
        <v>720</v>
      </c>
      <c r="P118" s="26" t="s">
        <v>20</v>
      </c>
      <c r="Q118" s="40" t="s">
        <v>20</v>
      </c>
      <c r="R118" s="16" t="s">
        <v>20</v>
      </c>
      <c r="S118" s="26" t="s">
        <v>20</v>
      </c>
      <c r="T118" s="40" t="s">
        <v>20</v>
      </c>
      <c r="U118" s="35" t="s">
        <v>20</v>
      </c>
    </row>
    <row r="119" spans="1:21" s="41" customFormat="1" ht="12" customHeight="1">
      <c r="A119" s="62" t="s">
        <v>194</v>
      </c>
      <c r="B119" s="62" t="s">
        <v>394</v>
      </c>
      <c r="C119" s="19">
        <v>300</v>
      </c>
      <c r="D119" s="19">
        <v>2.8</v>
      </c>
      <c r="E119" s="16">
        <f t="shared" si="4"/>
        <v>480</v>
      </c>
      <c r="F119" s="71" t="s">
        <v>196</v>
      </c>
      <c r="G119" s="63">
        <v>3</v>
      </c>
      <c r="H119" s="57">
        <v>2.97</v>
      </c>
      <c r="I119" s="16">
        <v>236</v>
      </c>
      <c r="J119" s="16">
        <v>133</v>
      </c>
      <c r="K119" s="16">
        <v>49</v>
      </c>
      <c r="L119" s="26">
        <f>AVERAGE(0)</f>
        <v>0</v>
      </c>
      <c r="M119" s="40" t="s">
        <v>20</v>
      </c>
      <c r="N119" s="26">
        <f>AVERAGE(2500,2699,1925,2101)</f>
        <v>2306.25</v>
      </c>
      <c r="O119" s="40" t="s">
        <v>470</v>
      </c>
      <c r="P119" s="26">
        <v>1900</v>
      </c>
      <c r="Q119" s="40" t="s">
        <v>781</v>
      </c>
      <c r="R119" s="16" t="s">
        <v>39</v>
      </c>
      <c r="S119" s="26" t="s">
        <v>20</v>
      </c>
      <c r="T119" s="40" t="s">
        <v>20</v>
      </c>
      <c r="U119" s="35" t="s">
        <v>20</v>
      </c>
    </row>
    <row r="120" spans="1:21" s="41" customFormat="1" ht="12" customHeight="1">
      <c r="A120" s="62" t="s">
        <v>194</v>
      </c>
      <c r="B120" s="62" t="s">
        <v>395</v>
      </c>
      <c r="C120" s="19">
        <v>300</v>
      </c>
      <c r="D120" s="19">
        <v>4</v>
      </c>
      <c r="E120" s="16">
        <f t="shared" si="4"/>
        <v>480</v>
      </c>
      <c r="F120" s="71" t="s">
        <v>191</v>
      </c>
      <c r="G120" s="63">
        <v>4</v>
      </c>
      <c r="H120" s="57">
        <v>0.825</v>
      </c>
      <c r="I120" s="16">
        <v>132</v>
      </c>
      <c r="J120" s="16">
        <v>84</v>
      </c>
      <c r="K120" s="16">
        <v>77</v>
      </c>
      <c r="L120" s="26">
        <f>AVERAGE(550,485,511,361)</f>
        <v>476.75</v>
      </c>
      <c r="M120" s="40" t="s">
        <v>417</v>
      </c>
      <c r="N120" s="26">
        <f>AVERAGE(393)</f>
        <v>393</v>
      </c>
      <c r="O120" s="40" t="s">
        <v>731</v>
      </c>
      <c r="P120" s="26" t="s">
        <v>20</v>
      </c>
      <c r="Q120" s="40" t="s">
        <v>20</v>
      </c>
      <c r="R120" s="16" t="s">
        <v>20</v>
      </c>
      <c r="S120" s="26">
        <v>850</v>
      </c>
      <c r="T120" s="40" t="s">
        <v>466</v>
      </c>
      <c r="U120" s="35" t="s">
        <v>195</v>
      </c>
    </row>
    <row r="121" spans="1:21" ht="12" customHeight="1">
      <c r="A121" s="64" t="s">
        <v>194</v>
      </c>
      <c r="B121" s="64" t="s">
        <v>396</v>
      </c>
      <c r="C121" s="28">
        <v>300</v>
      </c>
      <c r="D121" s="45">
        <v>4</v>
      </c>
      <c r="E121" s="28">
        <f t="shared" si="4"/>
        <v>480</v>
      </c>
      <c r="F121" s="94" t="s">
        <v>196</v>
      </c>
      <c r="G121" s="60">
        <v>4</v>
      </c>
      <c r="H121" s="61">
        <v>0.85</v>
      </c>
      <c r="I121" s="28">
        <v>132</v>
      </c>
      <c r="J121" s="28">
        <v>84</v>
      </c>
      <c r="K121" s="37">
        <v>77</v>
      </c>
      <c r="L121" s="28">
        <f>AVERAGE(570,511,485,611,431,585,570,540,525,440)</f>
        <v>526.8</v>
      </c>
      <c r="M121" s="28" t="s">
        <v>552</v>
      </c>
      <c r="N121" s="27">
        <f>AVERAGE(907,665,900,552,705,720,716)</f>
        <v>737.8571428571429</v>
      </c>
      <c r="O121" s="28" t="s">
        <v>751</v>
      </c>
      <c r="P121" s="27" t="s">
        <v>20</v>
      </c>
      <c r="Q121" s="28" t="s">
        <v>20</v>
      </c>
      <c r="R121" s="37" t="s">
        <v>20</v>
      </c>
      <c r="S121" s="27" t="s">
        <v>20</v>
      </c>
      <c r="T121" s="28" t="s">
        <v>20</v>
      </c>
      <c r="U121" s="37" t="s">
        <v>20</v>
      </c>
    </row>
    <row r="122" spans="1:21" s="41" customFormat="1" ht="12" customHeight="1">
      <c r="A122" s="62" t="s">
        <v>194</v>
      </c>
      <c r="B122" s="62" t="s">
        <v>397</v>
      </c>
      <c r="C122" s="19">
        <v>400</v>
      </c>
      <c r="D122" s="19">
        <v>2.8</v>
      </c>
      <c r="E122" s="16">
        <f t="shared" si="4"/>
        <v>640</v>
      </c>
      <c r="F122" s="71" t="s">
        <v>196</v>
      </c>
      <c r="G122" s="63">
        <v>4.5</v>
      </c>
      <c r="H122" s="57">
        <v>6</v>
      </c>
      <c r="I122" s="16">
        <v>325</v>
      </c>
      <c r="J122" s="16">
        <v>165</v>
      </c>
      <c r="K122" s="16">
        <v>49</v>
      </c>
      <c r="L122" s="26">
        <f>AVERAGE(0)</f>
        <v>0</v>
      </c>
      <c r="M122" s="40" t="s">
        <v>20</v>
      </c>
      <c r="N122" s="26">
        <f>AVERAGE(3250,3258,3452,2585)</f>
        <v>3136.25</v>
      </c>
      <c r="O122" s="40" t="s">
        <v>496</v>
      </c>
      <c r="P122" s="26">
        <v>3390</v>
      </c>
      <c r="Q122" s="40" t="s">
        <v>661</v>
      </c>
      <c r="R122" s="16" t="s">
        <v>35</v>
      </c>
      <c r="S122" s="26">
        <v>3900</v>
      </c>
      <c r="T122" s="40" t="s">
        <v>667</v>
      </c>
      <c r="U122" s="35" t="s">
        <v>38</v>
      </c>
    </row>
    <row r="123" spans="1:21" s="41" customFormat="1" ht="12" customHeight="1">
      <c r="A123" s="62" t="s">
        <v>194</v>
      </c>
      <c r="B123" s="62" t="s">
        <v>197</v>
      </c>
      <c r="C123" s="19">
        <v>500</v>
      </c>
      <c r="D123" s="19">
        <v>4.5</v>
      </c>
      <c r="E123" s="16">
        <f t="shared" si="4"/>
        <v>800</v>
      </c>
      <c r="F123" s="71" t="s">
        <v>191</v>
      </c>
      <c r="G123" s="63">
        <v>10</v>
      </c>
      <c r="H123" s="57">
        <v>3.37</v>
      </c>
      <c r="I123" s="16">
        <v>440</v>
      </c>
      <c r="J123" s="16">
        <v>127</v>
      </c>
      <c r="K123" s="16">
        <v>52</v>
      </c>
      <c r="L123" s="26">
        <f>AVERAGE(600,735,715,516,612,646,560)</f>
        <v>626.2857142857143</v>
      </c>
      <c r="M123" s="40" t="s">
        <v>553</v>
      </c>
      <c r="N123" s="26">
        <f>AVERAGE(756,1125,767,805)</f>
        <v>863.25</v>
      </c>
      <c r="O123" s="40" t="s">
        <v>417</v>
      </c>
      <c r="P123" s="26" t="s">
        <v>20</v>
      </c>
      <c r="Q123" s="40" t="s">
        <v>20</v>
      </c>
      <c r="R123" s="16" t="s">
        <v>20</v>
      </c>
      <c r="S123" s="26" t="s">
        <v>20</v>
      </c>
      <c r="T123" s="40" t="s">
        <v>20</v>
      </c>
      <c r="U123" s="35" t="s">
        <v>20</v>
      </c>
    </row>
    <row r="124" spans="1:21" s="41" customFormat="1" ht="12" customHeight="1">
      <c r="A124" s="62" t="s">
        <v>677</v>
      </c>
      <c r="B124" s="62" t="s">
        <v>679</v>
      </c>
      <c r="C124" s="19">
        <v>600</v>
      </c>
      <c r="D124" s="19">
        <v>4</v>
      </c>
      <c r="E124" s="16">
        <f t="shared" si="4"/>
        <v>960</v>
      </c>
      <c r="F124" s="71" t="s">
        <v>682</v>
      </c>
      <c r="G124" s="63">
        <v>5</v>
      </c>
      <c r="H124" s="57">
        <v>6.83</v>
      </c>
      <c r="I124" s="16">
        <v>457</v>
      </c>
      <c r="J124" s="16">
        <v>181</v>
      </c>
      <c r="K124" s="16">
        <v>43</v>
      </c>
      <c r="L124" s="26">
        <f>AVERAGE(0)</f>
        <v>0</v>
      </c>
      <c r="M124" s="16" t="s">
        <v>20</v>
      </c>
      <c r="N124" s="26">
        <f>AVERAGE(0)</f>
        <v>0</v>
      </c>
      <c r="O124" s="40" t="s">
        <v>20</v>
      </c>
      <c r="P124" s="26" t="s">
        <v>20</v>
      </c>
      <c r="Q124" s="40" t="s">
        <v>20</v>
      </c>
      <c r="R124" s="16" t="s">
        <v>20</v>
      </c>
      <c r="S124" s="26" t="s">
        <v>20</v>
      </c>
      <c r="T124" s="40" t="s">
        <v>20</v>
      </c>
      <c r="U124" s="35" t="s">
        <v>20</v>
      </c>
    </row>
    <row r="125" spans="1:21" s="41" customFormat="1" ht="12" customHeight="1">
      <c r="A125" s="62" t="s">
        <v>678</v>
      </c>
      <c r="B125" s="62" t="s">
        <v>680</v>
      </c>
      <c r="C125" s="19">
        <v>600</v>
      </c>
      <c r="D125" s="19">
        <v>4</v>
      </c>
      <c r="E125" s="16">
        <f t="shared" si="4"/>
        <v>960</v>
      </c>
      <c r="F125" s="71" t="s">
        <v>681</v>
      </c>
      <c r="G125" s="63">
        <v>5</v>
      </c>
      <c r="H125" s="57">
        <v>6.8</v>
      </c>
      <c r="I125" s="16">
        <v>457</v>
      </c>
      <c r="J125" s="16">
        <v>176</v>
      </c>
      <c r="K125" s="16">
        <v>150</v>
      </c>
      <c r="L125" s="26">
        <f>AVERAGE(0)</f>
        <v>0</v>
      </c>
      <c r="M125" s="16" t="s">
        <v>20</v>
      </c>
      <c r="N125" s="26">
        <f>AVERAGE(0)</f>
        <v>0</v>
      </c>
      <c r="O125" s="40" t="s">
        <v>20</v>
      </c>
      <c r="P125" s="26">
        <v>5750</v>
      </c>
      <c r="Q125" s="40" t="s">
        <v>643</v>
      </c>
      <c r="R125" s="16" t="s">
        <v>39</v>
      </c>
      <c r="S125" s="26">
        <v>6175</v>
      </c>
      <c r="T125" s="40" t="s">
        <v>645</v>
      </c>
      <c r="U125" s="35" t="s">
        <v>39</v>
      </c>
    </row>
    <row r="126" spans="1:21" ht="12" customHeight="1">
      <c r="A126" s="64" t="s">
        <v>194</v>
      </c>
      <c r="B126" s="64" t="s">
        <v>676</v>
      </c>
      <c r="C126" s="28">
        <v>600</v>
      </c>
      <c r="D126" s="45">
        <v>5.6</v>
      </c>
      <c r="E126" s="28">
        <f t="shared" si="4"/>
        <v>960</v>
      </c>
      <c r="F126" s="94" t="s">
        <v>196</v>
      </c>
      <c r="G126" s="60">
        <v>5.5</v>
      </c>
      <c r="H126" s="61">
        <v>3.28</v>
      </c>
      <c r="I126" s="28">
        <v>386</v>
      </c>
      <c r="J126" s="28">
        <v>133</v>
      </c>
      <c r="K126" s="156" t="s">
        <v>684</v>
      </c>
      <c r="L126" s="28">
        <f>AVERAGE(2648,2230,2225,2050)</f>
        <v>2288.25</v>
      </c>
      <c r="M126" s="28" t="s">
        <v>781</v>
      </c>
      <c r="N126" s="27">
        <f>AVERAGE(3050,2495,2899,2220)</f>
        <v>2666</v>
      </c>
      <c r="O126" s="28" t="s">
        <v>496</v>
      </c>
      <c r="P126" s="27">
        <v>1695</v>
      </c>
      <c r="Q126" s="28" t="s">
        <v>661</v>
      </c>
      <c r="R126" s="37" t="s">
        <v>34</v>
      </c>
      <c r="S126" s="27" t="s">
        <v>20</v>
      </c>
      <c r="T126" s="28" t="s">
        <v>20</v>
      </c>
      <c r="U126" s="37" t="s">
        <v>20</v>
      </c>
    </row>
    <row r="127" spans="1:21" s="41" customFormat="1" ht="12" customHeight="1">
      <c r="A127" s="62" t="s">
        <v>194</v>
      </c>
      <c r="B127" s="62" t="s">
        <v>398</v>
      </c>
      <c r="C127" s="19">
        <v>1000</v>
      </c>
      <c r="D127" s="19">
        <v>8</v>
      </c>
      <c r="E127" s="16">
        <f t="shared" si="4"/>
        <v>1600</v>
      </c>
      <c r="F127" s="71" t="s">
        <v>191</v>
      </c>
      <c r="G127" s="63">
        <v>30</v>
      </c>
      <c r="H127" s="57">
        <v>5.29</v>
      </c>
      <c r="I127" s="16">
        <v>738</v>
      </c>
      <c r="J127" s="16">
        <v>143</v>
      </c>
      <c r="K127" s="16">
        <v>52</v>
      </c>
      <c r="L127" s="26">
        <f>AVERAGE(1650)</f>
        <v>1650</v>
      </c>
      <c r="M127" s="19" t="s">
        <v>375</v>
      </c>
      <c r="N127" s="26">
        <f>AVERAGE(0)</f>
        <v>0</v>
      </c>
      <c r="O127" s="19" t="s">
        <v>20</v>
      </c>
      <c r="P127" s="26">
        <v>920</v>
      </c>
      <c r="Q127" s="19" t="s">
        <v>667</v>
      </c>
      <c r="R127" s="16" t="s">
        <v>35</v>
      </c>
      <c r="S127" s="26">
        <v>1370</v>
      </c>
      <c r="T127" s="19" t="s">
        <v>516</v>
      </c>
      <c r="U127" s="35" t="s">
        <v>35</v>
      </c>
    </row>
    <row r="128" spans="1:21" s="41" customFormat="1" ht="12" customHeight="1">
      <c r="A128" s="64" t="s">
        <v>194</v>
      </c>
      <c r="B128" s="64" t="s">
        <v>399</v>
      </c>
      <c r="C128" s="45">
        <v>1200</v>
      </c>
      <c r="D128" s="45">
        <v>8</v>
      </c>
      <c r="E128" s="28">
        <v>1920</v>
      </c>
      <c r="F128" s="70" t="s">
        <v>196</v>
      </c>
      <c r="G128" s="60">
        <v>8</v>
      </c>
      <c r="H128" s="61">
        <v>8.58</v>
      </c>
      <c r="I128" s="28">
        <v>684</v>
      </c>
      <c r="J128" s="28">
        <v>170</v>
      </c>
      <c r="K128" s="28">
        <v>49</v>
      </c>
      <c r="L128" s="27">
        <f>AVERAGE(0)</f>
        <v>0</v>
      </c>
      <c r="M128" s="45" t="s">
        <v>20</v>
      </c>
      <c r="N128" s="27">
        <f>AVERAGE(0)</f>
        <v>0</v>
      </c>
      <c r="O128" s="45" t="s">
        <v>20</v>
      </c>
      <c r="P128" s="27" t="s">
        <v>20</v>
      </c>
      <c r="Q128" s="45" t="s">
        <v>20</v>
      </c>
      <c r="R128" s="28" t="s">
        <v>20</v>
      </c>
      <c r="S128" s="27">
        <v>11000</v>
      </c>
      <c r="T128" s="45" t="s">
        <v>182</v>
      </c>
      <c r="U128" s="37" t="s">
        <v>38</v>
      </c>
    </row>
    <row r="129" spans="1:22" ht="12" customHeight="1">
      <c r="A129" s="62" t="s">
        <v>675</v>
      </c>
      <c r="B129" s="62" t="s">
        <v>422</v>
      </c>
      <c r="C129" s="16">
        <v>35</v>
      </c>
      <c r="D129" s="19" t="s">
        <v>198</v>
      </c>
      <c r="E129" s="35">
        <f>1.6*C129</f>
        <v>56</v>
      </c>
      <c r="F129" s="93" t="s">
        <v>410</v>
      </c>
      <c r="G129" s="48">
        <v>0.3</v>
      </c>
      <c r="H129" s="57">
        <v>0.56</v>
      </c>
      <c r="I129" s="16">
        <v>90</v>
      </c>
      <c r="J129" s="16">
        <v>88</v>
      </c>
      <c r="K129" s="35">
        <v>82</v>
      </c>
      <c r="L129" s="26">
        <f>AVERAGE(0)</f>
        <v>0</v>
      </c>
      <c r="M129" s="43" t="s">
        <v>20</v>
      </c>
      <c r="N129" s="26">
        <f>AVERAGE(1225,943,872)</f>
        <v>1013.3333333333334</v>
      </c>
      <c r="O129" s="43" t="s">
        <v>704</v>
      </c>
      <c r="P129" s="26" t="s">
        <v>20</v>
      </c>
      <c r="Q129" s="16" t="s">
        <v>20</v>
      </c>
      <c r="R129" s="35" t="s">
        <v>20</v>
      </c>
      <c r="S129" s="26">
        <v>975</v>
      </c>
      <c r="T129" s="16" t="s">
        <v>501</v>
      </c>
      <c r="U129" s="35" t="s">
        <v>33</v>
      </c>
      <c r="V129" s="15"/>
    </row>
    <row r="130" spans="1:22" ht="12" customHeight="1">
      <c r="A130" s="64" t="s">
        <v>675</v>
      </c>
      <c r="B130" s="64" t="s">
        <v>683</v>
      </c>
      <c r="C130" s="28">
        <v>600</v>
      </c>
      <c r="D130" s="45">
        <v>5.6</v>
      </c>
      <c r="E130" s="37">
        <f>1.6*C130</f>
        <v>960</v>
      </c>
      <c r="F130" s="94" t="s">
        <v>410</v>
      </c>
      <c r="G130" s="60">
        <v>5</v>
      </c>
      <c r="H130" s="61">
        <v>4.8</v>
      </c>
      <c r="I130" s="28">
        <v>352.5</v>
      </c>
      <c r="J130" s="28">
        <v>155.5</v>
      </c>
      <c r="K130" s="37" t="s">
        <v>686</v>
      </c>
      <c r="L130" s="27">
        <f>AVERAGE(0)</f>
        <v>0</v>
      </c>
      <c r="N130" s="27">
        <f>AVERAGE(0)</f>
        <v>0</v>
      </c>
      <c r="O130" s="46" t="s">
        <v>20</v>
      </c>
      <c r="P130" s="27" t="s">
        <v>20</v>
      </c>
      <c r="Q130" s="28" t="s">
        <v>20</v>
      </c>
      <c r="R130" s="37" t="s">
        <v>20</v>
      </c>
      <c r="S130" s="27">
        <v>2225</v>
      </c>
      <c r="T130" s="28" t="s">
        <v>704</v>
      </c>
      <c r="U130" s="37" t="s">
        <v>39</v>
      </c>
      <c r="V130" s="15"/>
    </row>
    <row r="131" spans="1:21" s="41" customFormat="1" ht="12" customHeight="1">
      <c r="A131" s="143" t="s">
        <v>633</v>
      </c>
      <c r="B131" s="74"/>
      <c r="C131" s="30"/>
      <c r="D131" s="75"/>
      <c r="E131" s="30"/>
      <c r="F131" s="78"/>
      <c r="G131" s="76" t="s">
        <v>20</v>
      </c>
      <c r="H131" s="77" t="s">
        <v>20</v>
      </c>
      <c r="I131" s="30" t="s">
        <v>20</v>
      </c>
      <c r="J131" s="30" t="s">
        <v>20</v>
      </c>
      <c r="K131" s="30" t="s">
        <v>20</v>
      </c>
      <c r="L131" s="30" t="s">
        <v>20</v>
      </c>
      <c r="M131" s="30" t="s">
        <v>20</v>
      </c>
      <c r="N131" s="30" t="s">
        <v>20</v>
      </c>
      <c r="O131" s="30" t="s">
        <v>20</v>
      </c>
      <c r="P131" s="30" t="s">
        <v>20</v>
      </c>
      <c r="Q131" s="30" t="s">
        <v>20</v>
      </c>
      <c r="R131" s="30" t="s">
        <v>20</v>
      </c>
      <c r="S131" s="30" t="s">
        <v>20</v>
      </c>
      <c r="T131" s="30" t="s">
        <v>20</v>
      </c>
      <c r="U131" s="30" t="s">
        <v>20</v>
      </c>
    </row>
    <row r="132" spans="1:21" ht="12" customHeight="1">
      <c r="A132" s="62" t="s">
        <v>745</v>
      </c>
      <c r="B132" s="62" t="s">
        <v>746</v>
      </c>
      <c r="C132" s="16">
        <v>28</v>
      </c>
      <c r="D132" s="19">
        <v>2</v>
      </c>
      <c r="E132" s="16">
        <f>1.6*C132</f>
        <v>44.800000000000004</v>
      </c>
      <c r="F132" s="93" t="s">
        <v>191</v>
      </c>
      <c r="G132" s="63">
        <v>0.3</v>
      </c>
      <c r="H132" s="57">
        <v>0.25</v>
      </c>
      <c r="I132" s="16">
        <v>49</v>
      </c>
      <c r="J132" s="16">
        <v>62</v>
      </c>
      <c r="K132" s="35">
        <v>55</v>
      </c>
      <c r="L132" s="26">
        <f>AVERAGE(0)</f>
        <v>0</v>
      </c>
      <c r="M132" s="16" t="s">
        <v>20</v>
      </c>
      <c r="N132" s="26">
        <f>AVERAGE(0)</f>
        <v>0</v>
      </c>
      <c r="O132" s="15" t="s">
        <v>20</v>
      </c>
      <c r="P132" s="26" t="s">
        <v>20</v>
      </c>
      <c r="Q132" s="16" t="s">
        <v>20</v>
      </c>
      <c r="R132" s="35" t="s">
        <v>20</v>
      </c>
      <c r="S132" s="26" t="s">
        <v>20</v>
      </c>
      <c r="T132" s="16" t="s">
        <v>20</v>
      </c>
      <c r="U132" s="35" t="s">
        <v>20</v>
      </c>
    </row>
    <row r="133" spans="1:21" ht="12" customHeight="1">
      <c r="A133" s="64" t="s">
        <v>409</v>
      </c>
      <c r="B133" s="64" t="s">
        <v>721</v>
      </c>
      <c r="C133" s="28">
        <v>60</v>
      </c>
      <c r="D133" s="45">
        <v>2.8</v>
      </c>
      <c r="E133" s="28">
        <v>96</v>
      </c>
      <c r="F133" s="94" t="s">
        <v>192</v>
      </c>
      <c r="G133" s="60">
        <v>0.235</v>
      </c>
      <c r="H133" s="61">
        <v>0.395</v>
      </c>
      <c r="I133" s="28">
        <v>66.35</v>
      </c>
      <c r="J133" s="28">
        <v>66.4</v>
      </c>
      <c r="K133" s="37">
        <v>58</v>
      </c>
      <c r="L133" s="27">
        <f>AVERAGE(183)</f>
        <v>183</v>
      </c>
      <c r="M133" s="46" t="s">
        <v>781</v>
      </c>
      <c r="N133" s="27">
        <f>AVERAGE(273)</f>
        <v>273</v>
      </c>
      <c r="O133" s="28" t="s">
        <v>781</v>
      </c>
      <c r="P133" s="27" t="s">
        <v>20</v>
      </c>
      <c r="Q133" s="28" t="s">
        <v>20</v>
      </c>
      <c r="R133" s="37" t="s">
        <v>20</v>
      </c>
      <c r="S133" s="27" t="s">
        <v>20</v>
      </c>
      <c r="T133" s="28" t="s">
        <v>20</v>
      </c>
      <c r="U133" s="37" t="s">
        <v>20</v>
      </c>
    </row>
    <row r="134" spans="1:21" ht="12" customHeight="1">
      <c r="A134" s="64" t="s">
        <v>673</v>
      </c>
      <c r="B134" s="64" t="s">
        <v>674</v>
      </c>
      <c r="C134" s="28">
        <v>85</v>
      </c>
      <c r="D134" s="45">
        <v>1.4</v>
      </c>
      <c r="E134" s="28">
        <f aca="true" t="shared" si="5" ref="E134:E140">1.6*C134</f>
        <v>136</v>
      </c>
      <c r="F134" s="94" t="s">
        <v>52</v>
      </c>
      <c r="G134" s="60">
        <v>1</v>
      </c>
      <c r="H134" s="61">
        <v>0.539</v>
      </c>
      <c r="I134" s="28">
        <v>74.7</v>
      </c>
      <c r="J134" s="28">
        <v>78</v>
      </c>
      <c r="K134" s="37">
        <v>72</v>
      </c>
      <c r="L134" s="28" t="s">
        <v>20</v>
      </c>
      <c r="M134" s="37" t="s">
        <v>20</v>
      </c>
      <c r="N134" s="158">
        <f>AVERAGE(255,255,255,255)</f>
        <v>255</v>
      </c>
      <c r="O134" s="28" t="s">
        <v>781</v>
      </c>
      <c r="P134" s="27" t="s">
        <v>20</v>
      </c>
      <c r="Q134" s="28" t="s">
        <v>20</v>
      </c>
      <c r="R134" s="37" t="s">
        <v>20</v>
      </c>
      <c r="S134" s="27" t="s">
        <v>20</v>
      </c>
      <c r="T134" s="28" t="s">
        <v>20</v>
      </c>
      <c r="U134" s="37" t="s">
        <v>20</v>
      </c>
    </row>
    <row r="135" spans="1:21" ht="12" customHeight="1">
      <c r="A135" s="62" t="s">
        <v>330</v>
      </c>
      <c r="B135" s="62" t="s">
        <v>230</v>
      </c>
      <c r="C135" s="16">
        <v>55</v>
      </c>
      <c r="D135" s="19">
        <v>1.2</v>
      </c>
      <c r="E135" s="16">
        <f t="shared" si="5"/>
        <v>88</v>
      </c>
      <c r="F135" s="93" t="s">
        <v>20</v>
      </c>
      <c r="G135" s="63" t="s">
        <v>20</v>
      </c>
      <c r="H135" s="57" t="s">
        <v>20</v>
      </c>
      <c r="I135" s="16" t="s">
        <v>20</v>
      </c>
      <c r="J135" s="16" t="s">
        <v>20</v>
      </c>
      <c r="K135" s="35" t="s">
        <v>20</v>
      </c>
      <c r="L135" s="16">
        <f>AVERAGE(400,355,450,379,325,504)</f>
        <v>402.1666666666667</v>
      </c>
      <c r="M135" s="16" t="s">
        <v>731</v>
      </c>
      <c r="N135" s="26">
        <f>AVERAGE(512)</f>
        <v>512</v>
      </c>
      <c r="O135" s="15" t="s">
        <v>553</v>
      </c>
      <c r="P135" s="26" t="s">
        <v>20</v>
      </c>
      <c r="Q135" s="16" t="s">
        <v>20</v>
      </c>
      <c r="R135" s="35" t="s">
        <v>20</v>
      </c>
      <c r="S135" s="26">
        <v>950</v>
      </c>
      <c r="T135" s="16" t="s">
        <v>466</v>
      </c>
      <c r="U135" s="35" t="s">
        <v>195</v>
      </c>
    </row>
    <row r="136" spans="1:21" ht="12" customHeight="1">
      <c r="A136" s="64" t="s">
        <v>330</v>
      </c>
      <c r="B136" s="64" t="s">
        <v>231</v>
      </c>
      <c r="C136" s="28">
        <v>60</v>
      </c>
      <c r="D136" s="45">
        <v>2.8</v>
      </c>
      <c r="E136" s="28">
        <f t="shared" si="5"/>
        <v>96</v>
      </c>
      <c r="F136" s="94" t="s">
        <v>20</v>
      </c>
      <c r="G136" s="60" t="s">
        <v>20</v>
      </c>
      <c r="H136" s="61" t="s">
        <v>20</v>
      </c>
      <c r="I136" s="28" t="s">
        <v>20</v>
      </c>
      <c r="J136" s="28" t="s">
        <v>20</v>
      </c>
      <c r="K136" s="37" t="s">
        <v>20</v>
      </c>
      <c r="L136" s="28">
        <f>AVERAGE(123)</f>
        <v>123</v>
      </c>
      <c r="M136" s="37" t="s">
        <v>536</v>
      </c>
      <c r="N136" s="28">
        <f>AVERAGE(216,274,275,312,203,256,188,227,210)</f>
        <v>240.11111111111111</v>
      </c>
      <c r="O136" s="28" t="s">
        <v>781</v>
      </c>
      <c r="P136" s="27">
        <v>225</v>
      </c>
      <c r="Q136" s="28" t="s">
        <v>466</v>
      </c>
      <c r="R136" s="37" t="s">
        <v>195</v>
      </c>
      <c r="S136" s="27">
        <v>375</v>
      </c>
      <c r="T136" s="28" t="s">
        <v>466</v>
      </c>
      <c r="U136" s="37" t="s">
        <v>195</v>
      </c>
    </row>
    <row r="137" spans="1:23" s="41" customFormat="1" ht="12" customHeight="1">
      <c r="A137" s="41" t="s">
        <v>190</v>
      </c>
      <c r="B137" s="41" t="s">
        <v>193</v>
      </c>
      <c r="C137" s="16">
        <v>450</v>
      </c>
      <c r="D137" s="48">
        <v>4.5</v>
      </c>
      <c r="E137" s="16">
        <f t="shared" si="5"/>
        <v>720</v>
      </c>
      <c r="F137" s="88" t="s">
        <v>20</v>
      </c>
      <c r="G137" s="63">
        <v>3.66</v>
      </c>
      <c r="H137" s="48">
        <v>1.64</v>
      </c>
      <c r="I137" s="16">
        <v>152</v>
      </c>
      <c r="J137" s="16">
        <v>117</v>
      </c>
      <c r="K137" s="43">
        <v>97</v>
      </c>
      <c r="L137" s="87">
        <f>AVERAGE(0)</f>
        <v>0</v>
      </c>
      <c r="M137" s="43" t="s">
        <v>20</v>
      </c>
      <c r="N137" s="19">
        <f>AVERAGE(912,917,991,770,1250)</f>
        <v>968</v>
      </c>
      <c r="O137" s="19" t="s">
        <v>454</v>
      </c>
      <c r="P137" s="87" t="s">
        <v>20</v>
      </c>
      <c r="Q137" s="19" t="s">
        <v>20</v>
      </c>
      <c r="R137" s="43" t="s">
        <v>20</v>
      </c>
      <c r="S137" s="87" t="s">
        <v>20</v>
      </c>
      <c r="T137" s="19" t="s">
        <v>20</v>
      </c>
      <c r="U137" s="43" t="s">
        <v>20</v>
      </c>
      <c r="V137" s="16"/>
      <c r="W137" s="16"/>
    </row>
    <row r="138" spans="1:23" s="41" customFormat="1" ht="12" customHeight="1">
      <c r="A138" s="41" t="s">
        <v>190</v>
      </c>
      <c r="B138" s="41" t="s">
        <v>193</v>
      </c>
      <c r="C138" s="16">
        <v>600</v>
      </c>
      <c r="D138" s="16">
        <v>8</v>
      </c>
      <c r="E138" s="16">
        <f t="shared" si="5"/>
        <v>960</v>
      </c>
      <c r="F138" s="88" t="s">
        <v>219</v>
      </c>
      <c r="G138" s="63">
        <v>6.8</v>
      </c>
      <c r="H138" s="57">
        <v>1.43</v>
      </c>
      <c r="I138" s="16">
        <v>105</v>
      </c>
      <c r="J138" s="16">
        <v>106</v>
      </c>
      <c r="K138" s="43">
        <v>35.5</v>
      </c>
      <c r="L138" s="26">
        <f>AVERAGE(340,305,272,280,310,305,213,330)</f>
        <v>294.375</v>
      </c>
      <c r="M138" s="43" t="s">
        <v>704</v>
      </c>
      <c r="N138" s="16">
        <f>AVERAGE(549,450,356,437,375,462)</f>
        <v>438.1666666666667</v>
      </c>
      <c r="O138" s="19" t="s">
        <v>661</v>
      </c>
      <c r="P138" s="87">
        <v>300</v>
      </c>
      <c r="Q138" s="19" t="s">
        <v>494</v>
      </c>
      <c r="R138" s="43" t="s">
        <v>38</v>
      </c>
      <c r="S138" s="87">
        <v>575</v>
      </c>
      <c r="T138" s="19" t="s">
        <v>375</v>
      </c>
      <c r="U138" s="43" t="s">
        <v>195</v>
      </c>
      <c r="V138" s="16"/>
      <c r="W138" s="16"/>
    </row>
    <row r="139" spans="1:23" ht="12" customHeight="1">
      <c r="A139" s="64" t="s">
        <v>190</v>
      </c>
      <c r="B139" s="64" t="s">
        <v>193</v>
      </c>
      <c r="C139" s="28">
        <v>800</v>
      </c>
      <c r="D139" s="28">
        <v>11</v>
      </c>
      <c r="E139" s="28">
        <f t="shared" si="5"/>
        <v>1280</v>
      </c>
      <c r="F139" s="86" t="s">
        <v>20</v>
      </c>
      <c r="G139" s="60" t="s">
        <v>20</v>
      </c>
      <c r="H139" s="61" t="s">
        <v>20</v>
      </c>
      <c r="I139" s="28" t="s">
        <v>20</v>
      </c>
      <c r="J139" s="28" t="s">
        <v>20</v>
      </c>
      <c r="K139" s="37" t="s">
        <v>20</v>
      </c>
      <c r="L139" s="28">
        <f>AVERAGE(350,406,256,310,360,336)</f>
        <v>336.3333333333333</v>
      </c>
      <c r="M139" s="37" t="s">
        <v>731</v>
      </c>
      <c r="N139" s="28">
        <f>AVERAGE(907)</f>
        <v>907</v>
      </c>
      <c r="O139" s="28" t="s">
        <v>553</v>
      </c>
      <c r="P139" s="27" t="s">
        <v>20</v>
      </c>
      <c r="Q139" s="28" t="s">
        <v>20</v>
      </c>
      <c r="R139" s="37" t="s">
        <v>20</v>
      </c>
      <c r="S139" s="27">
        <v>695</v>
      </c>
      <c r="T139" s="28" t="s">
        <v>661</v>
      </c>
      <c r="U139" s="37" t="s">
        <v>33</v>
      </c>
      <c r="V139" s="16"/>
      <c r="W139" s="16"/>
    </row>
    <row r="140" spans="1:21" ht="12" customHeight="1">
      <c r="A140" s="64" t="s">
        <v>234</v>
      </c>
      <c r="B140" s="64" t="s">
        <v>610</v>
      </c>
      <c r="C140" s="28">
        <v>16</v>
      </c>
      <c r="D140" s="45">
        <v>2.8</v>
      </c>
      <c r="E140" s="28">
        <f t="shared" si="5"/>
        <v>25.6</v>
      </c>
      <c r="F140" s="94" t="s">
        <v>36</v>
      </c>
      <c r="G140" s="60">
        <v>0.3</v>
      </c>
      <c r="H140" s="61">
        <v>0.31</v>
      </c>
      <c r="I140" s="28">
        <v>49</v>
      </c>
      <c r="J140" s="28">
        <v>63</v>
      </c>
      <c r="K140" s="37" t="s">
        <v>228</v>
      </c>
      <c r="L140" s="28">
        <f>AVERAGE(160,160,119,81)</f>
        <v>130</v>
      </c>
      <c r="M140" s="37" t="s">
        <v>553</v>
      </c>
      <c r="N140" s="28">
        <f>AVERAGE(220,153,160,160,188,150,210,185,195,175)</f>
        <v>179.6</v>
      </c>
      <c r="O140" s="28" t="s">
        <v>661</v>
      </c>
      <c r="P140" s="39" t="s">
        <v>20</v>
      </c>
      <c r="Q140" s="30" t="s">
        <v>20</v>
      </c>
      <c r="R140" s="32" t="s">
        <v>20</v>
      </c>
      <c r="S140" s="29" t="s">
        <v>20</v>
      </c>
      <c r="T140" s="30" t="s">
        <v>20</v>
      </c>
      <c r="U140" s="32" t="s">
        <v>20</v>
      </c>
    </row>
    <row r="141" ht="12" customHeight="1">
      <c r="A141" s="20"/>
    </row>
  </sheetData>
  <sheetProtection password="990B" sheet="1" objects="1" scenarios="1"/>
  <conditionalFormatting sqref="R129:R130 U129:U130">
    <cfRule type="cellIs" priority="1" dxfId="0" operator="lessThan" stopIfTrue="1">
      <formula>".07-00"</formula>
    </cfRule>
  </conditionalFormatting>
  <conditionalFormatting sqref="Q1:Q56 O58:O65536 Q58:Q65536 T58:T65536 M1:M56 T1:T56 O1:O56 M131:M65536 M58:M129">
    <cfRule type="cellIs" priority="2" dxfId="0" operator="lessThan" stopIfTrue="1">
      <formula>".08-09"</formula>
    </cfRule>
  </conditionalFormatting>
  <conditionalFormatting sqref="Q57 O57 T57 M57">
    <cfRule type="cellIs" priority="3" dxfId="0" operator="lessThan" stopIfTrue="1">
      <formula>".07-06"</formula>
    </cfRule>
  </conditionalFormatting>
  <printOptions/>
  <pageMargins left="0.3" right="0" top="0.5" bottom="0" header="0.590551181102362" footer="0.511811023622047"/>
  <pageSetup horizontalDpi="600" verticalDpi="600" orientation="landscape" r:id="rId1"/>
  <headerFooter alignWithMargins="0">
    <oddHeader>&amp;R&amp;9(&amp;P of &amp;N)</oddHeader>
  </headerFooter>
  <rowBreaks count="3" manualBreakCount="3">
    <brk id="42" max="255" man="1"/>
    <brk id="69" max="255" man="1"/>
    <brk id="106" max="255" man="1"/>
  </rowBreaks>
</worksheet>
</file>

<file path=xl/worksheets/sheet6.xml><?xml version="1.0" encoding="utf-8"?>
<worksheet xmlns="http://schemas.openxmlformats.org/spreadsheetml/2006/main" xmlns:r="http://schemas.openxmlformats.org/officeDocument/2006/relationships">
  <sheetPr codeName="Sheet5"/>
  <dimension ref="A1:W83"/>
  <sheetViews>
    <sheetView workbookViewId="0" topLeftCell="A1">
      <selection activeCell="A1" sqref="A1"/>
    </sheetView>
  </sheetViews>
  <sheetFormatPr defaultColWidth="9.140625" defaultRowHeight="12" customHeight="1"/>
  <cols>
    <col min="1" max="1" width="7.28125" style="81" customWidth="1"/>
    <col min="2" max="2" width="19.00390625" style="81" customWidth="1"/>
    <col min="3" max="3" width="7.140625" style="18" customWidth="1"/>
    <col min="4" max="4" width="7.140625" style="52" customWidth="1"/>
    <col min="5" max="5" width="7.140625" style="18" customWidth="1"/>
    <col min="6" max="6" width="4.7109375" style="18" customWidth="1"/>
    <col min="7" max="7" width="4.7109375" style="52" customWidth="1"/>
    <col min="8" max="8" width="4.7109375" style="80" customWidth="1"/>
    <col min="9" max="11" width="4.7109375" style="15" customWidth="1"/>
    <col min="12" max="17" width="5.28125" style="15" customWidth="1"/>
    <col min="18" max="18" width="6.7109375" style="15" customWidth="1"/>
    <col min="19" max="20" width="5.28125" style="15" customWidth="1"/>
    <col min="21" max="21" width="6.7109375" style="15" customWidth="1"/>
    <col min="22" max="22" width="2.7109375" style="15" customWidth="1"/>
    <col min="23" max="23" width="2.8515625" style="15" customWidth="1"/>
    <col min="24" max="24" width="6.57421875" style="20" customWidth="1"/>
    <col min="25" max="16384" width="9.140625" style="20" customWidth="1"/>
  </cols>
  <sheetData>
    <row r="1" spans="1:23" ht="12" customHeight="1">
      <c r="A1" s="10" t="str">
        <f>i!A1</f>
        <v>Lens$db: Lens Price database</v>
      </c>
      <c r="B1" s="33"/>
      <c r="C1" s="33"/>
      <c r="D1" s="66"/>
      <c r="E1" s="33"/>
      <c r="F1" s="33"/>
      <c r="H1" s="80" t="s">
        <v>20</v>
      </c>
      <c r="I1" s="15" t="s">
        <v>20</v>
      </c>
      <c r="J1" s="65" t="s">
        <v>20</v>
      </c>
      <c r="K1" s="15" t="s">
        <v>20</v>
      </c>
      <c r="L1" s="16" t="s">
        <v>20</v>
      </c>
      <c r="M1" s="16" t="s">
        <v>20</v>
      </c>
      <c r="N1" s="16" t="s">
        <v>20</v>
      </c>
      <c r="O1" s="16" t="s">
        <v>20</v>
      </c>
      <c r="P1" s="16" t="s">
        <v>20</v>
      </c>
      <c r="Q1" s="16" t="s">
        <v>20</v>
      </c>
      <c r="R1" s="51" t="str">
        <f>i!B3</f>
        <v>.2010-06-01</v>
      </c>
      <c r="S1" s="51"/>
      <c r="T1" s="16"/>
      <c r="U1" s="16" t="s">
        <v>20</v>
      </c>
      <c r="V1" s="16"/>
      <c r="W1" s="16"/>
    </row>
    <row r="2" spans="1:23" ht="12" customHeight="1">
      <c r="A2" s="33"/>
      <c r="F2" s="40"/>
      <c r="G2" s="48"/>
      <c r="H2" s="57"/>
      <c r="I2" s="16"/>
      <c r="J2" s="11"/>
      <c r="K2" s="16"/>
      <c r="L2" s="16"/>
      <c r="M2" s="16"/>
      <c r="N2" s="28"/>
      <c r="O2" s="16"/>
      <c r="P2" s="28"/>
      <c r="Q2" s="16"/>
      <c r="R2" s="28"/>
      <c r="S2" s="28"/>
      <c r="T2" s="16"/>
      <c r="U2" s="28"/>
      <c r="V2" s="16"/>
      <c r="W2" s="16"/>
    </row>
    <row r="3" spans="3:23" s="33" customFormat="1" ht="12" customHeight="1">
      <c r="C3" s="22"/>
      <c r="D3" s="82"/>
      <c r="E3" s="22"/>
      <c r="F3" s="83"/>
      <c r="G3" s="54"/>
      <c r="H3" s="54"/>
      <c r="I3" s="28"/>
      <c r="J3" s="28"/>
      <c r="K3" s="54"/>
      <c r="L3" s="55"/>
      <c r="M3" s="30"/>
      <c r="N3" s="30" t="s">
        <v>21</v>
      </c>
      <c r="O3" s="30"/>
      <c r="P3" s="84"/>
      <c r="Q3" s="30"/>
      <c r="R3" s="37" t="s">
        <v>22</v>
      </c>
      <c r="S3" s="28"/>
      <c r="T3" s="30"/>
      <c r="U3" s="37"/>
      <c r="V3" s="13"/>
      <c r="W3" s="13"/>
    </row>
    <row r="4" spans="1:23" s="41" customFormat="1" ht="12" customHeight="1">
      <c r="A4" s="33" t="s">
        <v>20</v>
      </c>
      <c r="B4" s="33"/>
      <c r="C4" s="40" t="s">
        <v>6</v>
      </c>
      <c r="D4" s="48" t="s">
        <v>13</v>
      </c>
      <c r="E4" s="16" t="s">
        <v>642</v>
      </c>
      <c r="F4" s="144" t="s">
        <v>15</v>
      </c>
      <c r="G4" s="56" t="s">
        <v>519</v>
      </c>
      <c r="H4" s="57" t="s">
        <v>7</v>
      </c>
      <c r="I4" s="16" t="s">
        <v>587</v>
      </c>
      <c r="J4" s="16" t="s">
        <v>588</v>
      </c>
      <c r="K4" s="35" t="s">
        <v>589</v>
      </c>
      <c r="L4" s="36" t="s">
        <v>23</v>
      </c>
      <c r="M4" s="37"/>
      <c r="N4" s="38" t="s">
        <v>24</v>
      </c>
      <c r="O4" s="37"/>
      <c r="P4" s="131"/>
      <c r="Q4" s="35" t="s">
        <v>9</v>
      </c>
      <c r="R4" s="35"/>
      <c r="S4" s="132"/>
      <c r="T4" s="35" t="s">
        <v>11</v>
      </c>
      <c r="U4" s="35"/>
      <c r="V4" s="19"/>
      <c r="W4" s="40"/>
    </row>
    <row r="5" spans="1:23" s="41" customFormat="1" ht="12" customHeight="1">
      <c r="A5" s="42"/>
      <c r="B5" s="42" t="s">
        <v>20</v>
      </c>
      <c r="C5" s="25" t="s">
        <v>25</v>
      </c>
      <c r="D5" s="67" t="s">
        <v>20</v>
      </c>
      <c r="E5" s="25"/>
      <c r="F5" s="92"/>
      <c r="G5" s="60" t="s">
        <v>43</v>
      </c>
      <c r="H5" s="61" t="s">
        <v>26</v>
      </c>
      <c r="I5" s="28" t="s">
        <v>25</v>
      </c>
      <c r="J5" s="28" t="s">
        <v>25</v>
      </c>
      <c r="K5" s="37" t="s">
        <v>25</v>
      </c>
      <c r="L5" s="27" t="s">
        <v>27</v>
      </c>
      <c r="M5" s="37" t="s">
        <v>28</v>
      </c>
      <c r="N5" s="28" t="s">
        <v>27</v>
      </c>
      <c r="O5" s="28" t="s">
        <v>28</v>
      </c>
      <c r="P5" s="39" t="s">
        <v>27</v>
      </c>
      <c r="Q5" s="30" t="s">
        <v>28</v>
      </c>
      <c r="R5" s="32" t="s">
        <v>29</v>
      </c>
      <c r="S5" s="39" t="s">
        <v>27</v>
      </c>
      <c r="T5" s="30" t="s">
        <v>28</v>
      </c>
      <c r="U5" s="32" t="s">
        <v>29</v>
      </c>
      <c r="V5" s="19"/>
      <c r="W5" s="40"/>
    </row>
    <row r="6" spans="1:21" s="41" customFormat="1" ht="12" customHeight="1">
      <c r="A6" s="143" t="s">
        <v>626</v>
      </c>
      <c r="B6" s="74"/>
      <c r="C6" s="30"/>
      <c r="D6" s="75"/>
      <c r="E6" s="30"/>
      <c r="F6" s="78"/>
      <c r="G6" s="76"/>
      <c r="H6" s="77"/>
      <c r="I6" s="30"/>
      <c r="J6" s="30"/>
      <c r="K6" s="30"/>
      <c r="L6" s="30"/>
      <c r="M6" s="30"/>
      <c r="N6" s="30"/>
      <c r="O6" s="30" t="s">
        <v>20</v>
      </c>
      <c r="P6" s="30"/>
      <c r="Q6" s="30"/>
      <c r="R6" s="30"/>
      <c r="S6" s="30"/>
      <c r="T6" s="30"/>
      <c r="U6" s="30"/>
    </row>
    <row r="7" spans="1:23" ht="12" customHeight="1">
      <c r="A7" s="101" t="s">
        <v>151</v>
      </c>
      <c r="B7" s="62" t="s">
        <v>289</v>
      </c>
      <c r="C7" s="102">
        <v>8</v>
      </c>
      <c r="D7" s="102">
        <v>4</v>
      </c>
      <c r="E7" s="102">
        <f aca="true" t="shared" si="0" ref="E7:E22">1.6*C7</f>
        <v>12.8</v>
      </c>
      <c r="F7" s="103" t="s">
        <v>46</v>
      </c>
      <c r="G7" s="104">
        <v>0.2</v>
      </c>
      <c r="H7" s="105">
        <v>0.32</v>
      </c>
      <c r="I7" s="102">
        <v>62</v>
      </c>
      <c r="J7" s="102">
        <v>74</v>
      </c>
      <c r="K7" s="106" t="s">
        <v>152</v>
      </c>
      <c r="L7" s="102">
        <f>AVERAGE(464,455,510,425)</f>
        <v>463.5</v>
      </c>
      <c r="M7" s="106" t="s">
        <v>731</v>
      </c>
      <c r="N7" s="102">
        <f>AVERAGE(560,620,720,521,660)</f>
        <v>616.2</v>
      </c>
      <c r="O7" s="102" t="s">
        <v>704</v>
      </c>
      <c r="P7" s="133">
        <v>430</v>
      </c>
      <c r="Q7" s="134" t="s">
        <v>731</v>
      </c>
      <c r="R7" s="135" t="s">
        <v>35</v>
      </c>
      <c r="S7" s="133">
        <v>750</v>
      </c>
      <c r="T7" s="134" t="s">
        <v>667</v>
      </c>
      <c r="U7" s="135" t="s">
        <v>39</v>
      </c>
      <c r="V7" s="16"/>
      <c r="W7" s="16"/>
    </row>
    <row r="8" spans="1:23" ht="12" customHeight="1">
      <c r="A8" s="101" t="s">
        <v>151</v>
      </c>
      <c r="B8" s="62" t="s">
        <v>290</v>
      </c>
      <c r="C8" s="102">
        <v>14</v>
      </c>
      <c r="D8" s="108">
        <v>2.8</v>
      </c>
      <c r="E8" s="102">
        <f t="shared" si="0"/>
        <v>22.400000000000002</v>
      </c>
      <c r="F8" s="103" t="s">
        <v>46</v>
      </c>
      <c r="G8" s="104">
        <v>0.18</v>
      </c>
      <c r="H8" s="105">
        <v>0.63</v>
      </c>
      <c r="I8" s="102">
        <v>91</v>
      </c>
      <c r="J8" s="102">
        <v>82</v>
      </c>
      <c r="K8" s="106" t="s">
        <v>152</v>
      </c>
      <c r="L8" s="102">
        <f>AVERAGE(475,435,416,414,395,415,400,400,455,450,511)</f>
        <v>433.27272727272725</v>
      </c>
      <c r="M8" s="106" t="s">
        <v>552</v>
      </c>
      <c r="N8" s="102">
        <f>AVERAGE(501,500,495,455,417,540,700,700,650,480)</f>
        <v>543.8</v>
      </c>
      <c r="O8" s="102" t="s">
        <v>781</v>
      </c>
      <c r="P8" s="107">
        <v>695</v>
      </c>
      <c r="Q8" s="102" t="s">
        <v>466</v>
      </c>
      <c r="R8" s="106" t="s">
        <v>35</v>
      </c>
      <c r="S8" s="107">
        <v>525</v>
      </c>
      <c r="T8" s="102" t="s">
        <v>704</v>
      </c>
      <c r="U8" s="106" t="s">
        <v>41</v>
      </c>
      <c r="V8" s="16"/>
      <c r="W8" s="16"/>
    </row>
    <row r="9" spans="1:23" ht="12" customHeight="1">
      <c r="A9" s="101" t="s">
        <v>151</v>
      </c>
      <c r="B9" s="62" t="s">
        <v>291</v>
      </c>
      <c r="C9" s="102">
        <v>15</v>
      </c>
      <c r="D9" s="108">
        <v>2.8</v>
      </c>
      <c r="E9" s="102">
        <f t="shared" si="0"/>
        <v>24</v>
      </c>
      <c r="F9" s="103" t="s">
        <v>46</v>
      </c>
      <c r="G9" s="104">
        <v>0.15</v>
      </c>
      <c r="H9" s="105">
        <v>0.33</v>
      </c>
      <c r="I9" s="102">
        <v>71</v>
      </c>
      <c r="J9" s="102">
        <v>74</v>
      </c>
      <c r="K9" s="106" t="s">
        <v>152</v>
      </c>
      <c r="L9" s="102">
        <f>AVERAGE(189,256,275,308)</f>
        <v>257</v>
      </c>
      <c r="M9" s="106" t="s">
        <v>552</v>
      </c>
      <c r="N9" s="102">
        <f>AVERAGE(565,450,400,550,422,601,405,425)</f>
        <v>477.25</v>
      </c>
      <c r="O9" s="102" t="s">
        <v>781</v>
      </c>
      <c r="P9" s="107">
        <v>500</v>
      </c>
      <c r="Q9" s="102" t="s">
        <v>496</v>
      </c>
      <c r="R9" s="106" t="s">
        <v>35</v>
      </c>
      <c r="S9" s="107" t="s">
        <v>20</v>
      </c>
      <c r="T9" s="102" t="s">
        <v>20</v>
      </c>
      <c r="U9" s="106" t="s">
        <v>20</v>
      </c>
      <c r="V9" s="16"/>
      <c r="W9" s="16"/>
    </row>
    <row r="10" spans="1:23" ht="12" customHeight="1">
      <c r="A10" s="101" t="s">
        <v>151</v>
      </c>
      <c r="B10" s="62" t="s">
        <v>292</v>
      </c>
      <c r="C10" s="102">
        <v>20</v>
      </c>
      <c r="D10" s="108">
        <v>1.8</v>
      </c>
      <c r="E10" s="102">
        <f t="shared" si="0"/>
        <v>32</v>
      </c>
      <c r="F10" s="103" t="s">
        <v>46</v>
      </c>
      <c r="G10" s="104">
        <v>0.2</v>
      </c>
      <c r="H10" s="105">
        <v>0.52</v>
      </c>
      <c r="I10" s="102">
        <v>87</v>
      </c>
      <c r="J10" s="102">
        <v>89</v>
      </c>
      <c r="K10" s="106">
        <v>82</v>
      </c>
      <c r="L10" s="102">
        <f>AVERAGE(305,235,238,230,223)</f>
        <v>246.2</v>
      </c>
      <c r="M10" s="106" t="s">
        <v>781</v>
      </c>
      <c r="N10" s="102">
        <f>AVERAGE(375,450,349,303,380)</f>
        <v>371.4</v>
      </c>
      <c r="O10" s="102" t="s">
        <v>781</v>
      </c>
      <c r="P10" s="107">
        <v>415</v>
      </c>
      <c r="Q10" s="102" t="s">
        <v>781</v>
      </c>
      <c r="R10" s="106" t="s">
        <v>35</v>
      </c>
      <c r="S10" s="107">
        <v>210</v>
      </c>
      <c r="T10" s="102" t="s">
        <v>601</v>
      </c>
      <c r="U10" s="106" t="s">
        <v>38</v>
      </c>
      <c r="V10" s="16"/>
      <c r="W10" s="16"/>
    </row>
    <row r="11" spans="1:23" ht="12" customHeight="1">
      <c r="A11" s="101" t="s">
        <v>151</v>
      </c>
      <c r="B11" s="62" t="s">
        <v>293</v>
      </c>
      <c r="C11" s="102">
        <v>24</v>
      </c>
      <c r="D11" s="108">
        <v>1.8</v>
      </c>
      <c r="E11" s="102">
        <f t="shared" si="0"/>
        <v>38.400000000000006</v>
      </c>
      <c r="F11" s="103" t="s">
        <v>46</v>
      </c>
      <c r="G11" s="104">
        <v>0.18</v>
      </c>
      <c r="H11" s="105">
        <v>0.485</v>
      </c>
      <c r="I11" s="102">
        <v>80</v>
      </c>
      <c r="J11" s="102">
        <v>83</v>
      </c>
      <c r="K11" s="106">
        <v>77</v>
      </c>
      <c r="L11" s="102">
        <f>AVERAGE(0)</f>
        <v>0</v>
      </c>
      <c r="M11" s="106" t="s">
        <v>20</v>
      </c>
      <c r="N11" s="109">
        <f>AVERAGE(256,275,350,275,200,228,247,265)</f>
        <v>262</v>
      </c>
      <c r="O11" s="102" t="s">
        <v>661</v>
      </c>
      <c r="P11" s="107">
        <v>295</v>
      </c>
      <c r="Q11" s="102" t="s">
        <v>466</v>
      </c>
      <c r="R11" s="106" t="s">
        <v>39</v>
      </c>
      <c r="S11" s="107">
        <v>319</v>
      </c>
      <c r="T11" s="102" t="s">
        <v>525</v>
      </c>
      <c r="U11" s="106" t="s">
        <v>39</v>
      </c>
      <c r="V11" s="16"/>
      <c r="W11" s="16"/>
    </row>
    <row r="12" spans="1:23" ht="12" customHeight="1">
      <c r="A12" s="101" t="s">
        <v>151</v>
      </c>
      <c r="B12" s="62" t="s">
        <v>294</v>
      </c>
      <c r="C12" s="102">
        <v>28</v>
      </c>
      <c r="D12" s="108">
        <v>1.8</v>
      </c>
      <c r="E12" s="102">
        <f t="shared" si="0"/>
        <v>44.800000000000004</v>
      </c>
      <c r="F12" s="103" t="s">
        <v>46</v>
      </c>
      <c r="G12" s="104">
        <v>0.3</v>
      </c>
      <c r="H12" s="105">
        <v>0.29</v>
      </c>
      <c r="I12" s="102">
        <v>62</v>
      </c>
      <c r="J12" s="102">
        <v>69</v>
      </c>
      <c r="K12" s="106">
        <v>58</v>
      </c>
      <c r="L12" s="102">
        <f>AVERAGE(103,180,191,165,102)</f>
        <v>148.2</v>
      </c>
      <c r="M12" s="106" t="s">
        <v>667</v>
      </c>
      <c r="N12" s="102">
        <f>AVERAGE(287,203,230,200,260,200,170)</f>
        <v>221.42857142857142</v>
      </c>
      <c r="O12" s="102" t="s">
        <v>731</v>
      </c>
      <c r="P12" s="107">
        <v>210</v>
      </c>
      <c r="Q12" s="102" t="s">
        <v>731</v>
      </c>
      <c r="R12" s="106" t="s">
        <v>39</v>
      </c>
      <c r="S12" s="107">
        <v>285</v>
      </c>
      <c r="T12" s="102" t="s">
        <v>704</v>
      </c>
      <c r="U12" s="106" t="s">
        <v>37</v>
      </c>
      <c r="V12" s="16"/>
      <c r="W12" s="16"/>
    </row>
    <row r="13" spans="1:23" ht="12" customHeight="1">
      <c r="A13" s="101" t="s">
        <v>151</v>
      </c>
      <c r="B13" s="62" t="s">
        <v>464</v>
      </c>
      <c r="C13" s="102">
        <v>30</v>
      </c>
      <c r="D13" s="108">
        <v>1.4</v>
      </c>
      <c r="E13" s="102">
        <f t="shared" si="0"/>
        <v>48</v>
      </c>
      <c r="F13" s="103" t="s">
        <v>46</v>
      </c>
      <c r="G13" s="104">
        <v>0.4</v>
      </c>
      <c r="H13" s="105">
        <v>0.43</v>
      </c>
      <c r="I13" s="102">
        <v>59</v>
      </c>
      <c r="J13" s="102">
        <v>75.5</v>
      </c>
      <c r="K13" s="106">
        <v>62</v>
      </c>
      <c r="L13" s="102">
        <f>AVERAGE(329,306,286,299,310,325,305,329,305,307)</f>
        <v>310.1</v>
      </c>
      <c r="M13" s="106" t="s">
        <v>704</v>
      </c>
      <c r="N13" s="102">
        <f>AVERAGE(380,370,378,383,351,399,396,375,350,307,380)</f>
        <v>369.90909090909093</v>
      </c>
      <c r="O13" s="102" t="s">
        <v>731</v>
      </c>
      <c r="P13" s="107">
        <v>350</v>
      </c>
      <c r="Q13" s="102" t="s">
        <v>435</v>
      </c>
      <c r="R13" s="106" t="s">
        <v>35</v>
      </c>
      <c r="S13" s="107">
        <v>320</v>
      </c>
      <c r="T13" s="102" t="s">
        <v>601</v>
      </c>
      <c r="U13" s="106" t="s">
        <v>38</v>
      </c>
      <c r="V13" s="16"/>
      <c r="W13" s="16"/>
    </row>
    <row r="14" spans="1:23" ht="12" customHeight="1">
      <c r="A14" s="101" t="s">
        <v>151</v>
      </c>
      <c r="B14" s="62" t="s">
        <v>493</v>
      </c>
      <c r="C14" s="102">
        <v>50</v>
      </c>
      <c r="D14" s="108">
        <v>1.4</v>
      </c>
      <c r="E14" s="102">
        <f t="shared" si="0"/>
        <v>80</v>
      </c>
      <c r="F14" s="103" t="s">
        <v>46</v>
      </c>
      <c r="G14" s="104">
        <v>0.45</v>
      </c>
      <c r="H14" s="105">
        <v>0.505</v>
      </c>
      <c r="I14" s="102">
        <v>68</v>
      </c>
      <c r="J14" s="102">
        <v>85</v>
      </c>
      <c r="K14" s="106">
        <v>77</v>
      </c>
      <c r="L14" s="102">
        <f>AVERAGE(0)</f>
        <v>0</v>
      </c>
      <c r="M14" s="106" t="s">
        <v>20</v>
      </c>
      <c r="N14" s="102">
        <f>AVERAGE(400,400,405,426,450,399,438,399,465)</f>
        <v>420.22222222222223</v>
      </c>
      <c r="O14" s="102" t="s">
        <v>781</v>
      </c>
      <c r="P14" s="107" t="s">
        <v>20</v>
      </c>
      <c r="Q14" s="102" t="s">
        <v>20</v>
      </c>
      <c r="R14" s="106" t="s">
        <v>20</v>
      </c>
      <c r="S14" s="107">
        <v>370</v>
      </c>
      <c r="T14" s="102" t="s">
        <v>667</v>
      </c>
      <c r="U14" s="106" t="s">
        <v>39</v>
      </c>
      <c r="V14" s="16"/>
      <c r="W14" s="16"/>
    </row>
    <row r="15" spans="1:23" ht="12" customHeight="1">
      <c r="A15" s="101" t="s">
        <v>151</v>
      </c>
      <c r="B15" s="62" t="s">
        <v>451</v>
      </c>
      <c r="C15" s="102">
        <v>50</v>
      </c>
      <c r="D15" s="108">
        <v>2.8</v>
      </c>
      <c r="E15" s="102">
        <f t="shared" si="0"/>
        <v>80</v>
      </c>
      <c r="F15" s="103" t="s">
        <v>46</v>
      </c>
      <c r="G15" s="104">
        <v>0.189</v>
      </c>
      <c r="H15" s="105">
        <v>0.32</v>
      </c>
      <c r="I15" s="102">
        <v>66.5</v>
      </c>
      <c r="J15" s="102">
        <v>71.4</v>
      </c>
      <c r="K15" s="106">
        <v>55</v>
      </c>
      <c r="L15" s="102">
        <f>AVERAGE(159,150,92,117,150)</f>
        <v>133.6</v>
      </c>
      <c r="M15" s="106" t="s">
        <v>523</v>
      </c>
      <c r="N15" s="102">
        <f>AVERAGE(200,267,199,250,200,173,238,200,250,)</f>
        <v>197.7</v>
      </c>
      <c r="O15" s="102" t="s">
        <v>767</v>
      </c>
      <c r="P15" s="107">
        <v>255</v>
      </c>
      <c r="Q15" s="102" t="s">
        <v>781</v>
      </c>
      <c r="R15" s="106" t="s">
        <v>35</v>
      </c>
      <c r="S15" s="107">
        <v>300</v>
      </c>
      <c r="T15" s="102" t="s">
        <v>781</v>
      </c>
      <c r="U15" s="106" t="s">
        <v>35</v>
      </c>
      <c r="V15" s="16"/>
      <c r="W15" s="16"/>
    </row>
    <row r="16" spans="1:23" ht="12" customHeight="1">
      <c r="A16" s="101" t="s">
        <v>151</v>
      </c>
      <c r="B16" s="62" t="s">
        <v>451</v>
      </c>
      <c r="C16" s="102">
        <v>70</v>
      </c>
      <c r="D16" s="108">
        <v>2.8</v>
      </c>
      <c r="E16" s="102">
        <f t="shared" si="0"/>
        <v>112</v>
      </c>
      <c r="F16" s="103" t="s">
        <v>46</v>
      </c>
      <c r="G16" s="104">
        <v>0.257</v>
      </c>
      <c r="H16" s="105">
        <v>0.525</v>
      </c>
      <c r="I16" s="102">
        <v>95</v>
      </c>
      <c r="J16" s="102">
        <v>76</v>
      </c>
      <c r="K16" s="106">
        <v>62</v>
      </c>
      <c r="L16" s="102">
        <f>AVERAGE(188,247)</f>
        <v>217.5</v>
      </c>
      <c r="M16" s="106" t="s">
        <v>536</v>
      </c>
      <c r="N16" s="102">
        <f>AVERAGE(270,223,270,300,386)</f>
        <v>289.8</v>
      </c>
      <c r="O16" s="102" t="s">
        <v>661</v>
      </c>
      <c r="P16" s="107" t="s">
        <v>20</v>
      </c>
      <c r="Q16" s="102" t="s">
        <v>20</v>
      </c>
      <c r="R16" s="106" t="s">
        <v>20</v>
      </c>
      <c r="S16" s="107">
        <v>450</v>
      </c>
      <c r="T16" s="102" t="s">
        <v>667</v>
      </c>
      <c r="U16" s="106" t="s">
        <v>35</v>
      </c>
      <c r="V16" s="16"/>
      <c r="W16" s="16"/>
    </row>
    <row r="17" spans="1:23" ht="12" customHeight="1">
      <c r="A17" s="101" t="s">
        <v>151</v>
      </c>
      <c r="B17" s="62" t="s">
        <v>296</v>
      </c>
      <c r="C17" s="102">
        <v>105</v>
      </c>
      <c r="D17" s="108">
        <v>2.8</v>
      </c>
      <c r="E17" s="102">
        <f t="shared" si="0"/>
        <v>168</v>
      </c>
      <c r="F17" s="103" t="s">
        <v>46</v>
      </c>
      <c r="G17" s="104">
        <v>0.31</v>
      </c>
      <c r="H17" s="105">
        <v>0.45</v>
      </c>
      <c r="I17" s="102">
        <v>95</v>
      </c>
      <c r="J17" s="102">
        <v>74</v>
      </c>
      <c r="K17" s="106">
        <v>58</v>
      </c>
      <c r="L17" s="102">
        <f>AVERAGE(257,199,235,240,213,248,248,200,255,226,254)</f>
        <v>234.0909090909091</v>
      </c>
      <c r="M17" s="106" t="s">
        <v>781</v>
      </c>
      <c r="N17" s="102">
        <f>AVERAGE(309,350,380,342,275,330,306,310)</f>
        <v>325.25</v>
      </c>
      <c r="O17" s="102" t="s">
        <v>781</v>
      </c>
      <c r="P17" s="107">
        <v>310</v>
      </c>
      <c r="Q17" s="102" t="s">
        <v>781</v>
      </c>
      <c r="R17" s="106" t="s">
        <v>35</v>
      </c>
      <c r="S17" s="107">
        <v>380</v>
      </c>
      <c r="T17" s="102" t="s">
        <v>781</v>
      </c>
      <c r="U17" s="106" t="s">
        <v>689</v>
      </c>
      <c r="V17" s="16"/>
      <c r="W17" s="16"/>
    </row>
    <row r="18" spans="1:23" ht="12" customHeight="1">
      <c r="A18" s="101" t="s">
        <v>151</v>
      </c>
      <c r="B18" s="62" t="s">
        <v>297</v>
      </c>
      <c r="C18" s="102">
        <v>150</v>
      </c>
      <c r="D18" s="108">
        <v>2.8</v>
      </c>
      <c r="E18" s="102">
        <f t="shared" si="0"/>
        <v>240</v>
      </c>
      <c r="F18" s="103" t="s">
        <v>46</v>
      </c>
      <c r="G18" s="104">
        <v>0.38</v>
      </c>
      <c r="H18" s="105">
        <v>0.895</v>
      </c>
      <c r="I18" s="102">
        <v>137</v>
      </c>
      <c r="J18" s="102">
        <v>79.6</v>
      </c>
      <c r="K18" s="106">
        <v>72</v>
      </c>
      <c r="L18" s="102">
        <f>AVERAGE(435,439.455)</f>
        <v>437.22749999999996</v>
      </c>
      <c r="M18" s="106" t="s">
        <v>667</v>
      </c>
      <c r="N18" s="102">
        <f>AVERAGE(539,530,485,510,510,510,495,515,520,443)</f>
        <v>505.7</v>
      </c>
      <c r="O18" s="102" t="s">
        <v>781</v>
      </c>
      <c r="P18" s="107">
        <v>600</v>
      </c>
      <c r="Q18" s="102" t="s">
        <v>781</v>
      </c>
      <c r="R18" s="106" t="s">
        <v>35</v>
      </c>
      <c r="S18" s="107">
        <v>665</v>
      </c>
      <c r="T18" s="102" t="s">
        <v>781</v>
      </c>
      <c r="U18" s="106" t="s">
        <v>35</v>
      </c>
      <c r="V18" s="16"/>
      <c r="W18" s="16"/>
    </row>
    <row r="19" spans="1:23" ht="12" customHeight="1">
      <c r="A19" s="101" t="s">
        <v>151</v>
      </c>
      <c r="B19" s="62" t="s">
        <v>298</v>
      </c>
      <c r="C19" s="102">
        <v>180</v>
      </c>
      <c r="D19" s="108">
        <v>3.5</v>
      </c>
      <c r="E19" s="102">
        <f t="shared" si="0"/>
        <v>288</v>
      </c>
      <c r="F19" s="103" t="s">
        <v>46</v>
      </c>
      <c r="G19" s="104">
        <v>0.46</v>
      </c>
      <c r="H19" s="105">
        <v>0.95</v>
      </c>
      <c r="I19" s="102">
        <v>180</v>
      </c>
      <c r="J19" s="102">
        <v>80</v>
      </c>
      <c r="K19" s="106">
        <v>72</v>
      </c>
      <c r="L19" s="102">
        <f>AVERAGE(408,470,400,437,435,391,399,400,380,450,416)</f>
        <v>416.90909090909093</v>
      </c>
      <c r="M19" s="106" t="s">
        <v>667</v>
      </c>
      <c r="N19" s="102">
        <f>AVERAGE(485,625,575,650,475)</f>
        <v>562</v>
      </c>
      <c r="O19" s="102" t="s">
        <v>781</v>
      </c>
      <c r="P19" s="107">
        <v>546</v>
      </c>
      <c r="Q19" s="102" t="s">
        <v>781</v>
      </c>
      <c r="R19" s="106" t="s">
        <v>35</v>
      </c>
      <c r="S19" s="107">
        <v>550</v>
      </c>
      <c r="T19" s="102" t="s">
        <v>781</v>
      </c>
      <c r="U19" s="106" t="s">
        <v>38</v>
      </c>
      <c r="V19" s="16"/>
      <c r="W19" s="16"/>
    </row>
    <row r="20" spans="1:23" ht="12" customHeight="1">
      <c r="A20" s="101" t="s">
        <v>151</v>
      </c>
      <c r="B20" s="62" t="s">
        <v>299</v>
      </c>
      <c r="C20" s="102">
        <v>300</v>
      </c>
      <c r="D20" s="108">
        <v>2.8</v>
      </c>
      <c r="E20" s="102">
        <f t="shared" si="0"/>
        <v>480</v>
      </c>
      <c r="F20" s="103" t="s">
        <v>46</v>
      </c>
      <c r="G20" s="104">
        <v>2.5</v>
      </c>
      <c r="H20" s="105">
        <v>2.4</v>
      </c>
      <c r="I20" s="102">
        <v>214</v>
      </c>
      <c r="J20" s="102">
        <v>119</v>
      </c>
      <c r="K20" s="106">
        <v>46</v>
      </c>
      <c r="L20" s="102">
        <f>AVERAGE(1300,830,1080,1125,1175)</f>
        <v>1102</v>
      </c>
      <c r="M20" s="106" t="s">
        <v>501</v>
      </c>
      <c r="N20" s="102">
        <f>AVERAGE(1600,1400,1869,1645,1525,1375)</f>
        <v>1569</v>
      </c>
      <c r="O20" s="102" t="s">
        <v>781</v>
      </c>
      <c r="P20" s="107">
        <v>2250</v>
      </c>
      <c r="Q20" s="102" t="s">
        <v>704</v>
      </c>
      <c r="R20" s="106" t="s">
        <v>39</v>
      </c>
      <c r="S20" s="107">
        <v>2900</v>
      </c>
      <c r="T20" s="102" t="s">
        <v>525</v>
      </c>
      <c r="U20" s="106" t="s">
        <v>38</v>
      </c>
      <c r="V20" s="16"/>
      <c r="W20" s="16"/>
    </row>
    <row r="21" spans="1:23" ht="12" customHeight="1">
      <c r="A21" s="101" t="s">
        <v>151</v>
      </c>
      <c r="B21" s="62" t="s">
        <v>300</v>
      </c>
      <c r="C21" s="102">
        <v>500</v>
      </c>
      <c r="D21" s="108">
        <v>4.5</v>
      </c>
      <c r="E21" s="102">
        <f t="shared" si="0"/>
        <v>800</v>
      </c>
      <c r="F21" s="103" t="s">
        <v>46</v>
      </c>
      <c r="G21" s="104">
        <v>4</v>
      </c>
      <c r="H21" s="105">
        <v>3.1</v>
      </c>
      <c r="I21" s="102">
        <v>350</v>
      </c>
      <c r="J21" s="102">
        <v>123</v>
      </c>
      <c r="K21" s="106">
        <v>46</v>
      </c>
      <c r="L21" s="102">
        <f>AVERAGE(1250)</f>
        <v>1250</v>
      </c>
      <c r="M21" s="106" t="s">
        <v>376</v>
      </c>
      <c r="N21" s="102">
        <f>AVERAGE(2689,2850,2200,2326,2226,2300,2429,2025,2099)</f>
        <v>2349.3333333333335</v>
      </c>
      <c r="O21" s="102" t="s">
        <v>668</v>
      </c>
      <c r="P21" s="107" t="s">
        <v>20</v>
      </c>
      <c r="Q21" s="102" t="s">
        <v>20</v>
      </c>
      <c r="R21" s="106" t="s">
        <v>39</v>
      </c>
      <c r="S21" s="107">
        <v>4700</v>
      </c>
      <c r="T21" s="102" t="s">
        <v>525</v>
      </c>
      <c r="U21" s="106" t="s">
        <v>38</v>
      </c>
      <c r="V21" s="16"/>
      <c r="W21" s="16"/>
    </row>
    <row r="22" spans="1:23" ht="12" customHeight="1">
      <c r="A22" s="111" t="s">
        <v>151</v>
      </c>
      <c r="B22" s="64" t="s">
        <v>300</v>
      </c>
      <c r="C22" s="112">
        <v>800</v>
      </c>
      <c r="D22" s="113">
        <v>5.6</v>
      </c>
      <c r="E22" s="112">
        <f t="shared" si="0"/>
        <v>1280</v>
      </c>
      <c r="F22" s="114" t="s">
        <v>46</v>
      </c>
      <c r="G22" s="115">
        <v>7</v>
      </c>
      <c r="H22" s="116">
        <v>4.74</v>
      </c>
      <c r="I22" s="112">
        <v>520</v>
      </c>
      <c r="J22" s="112">
        <v>157</v>
      </c>
      <c r="K22" s="117">
        <v>46</v>
      </c>
      <c r="L22" s="121">
        <f>AVERAGE(0)</f>
        <v>0</v>
      </c>
      <c r="M22" s="117" t="s">
        <v>20</v>
      </c>
      <c r="N22" s="112">
        <f>AVERAGE(0)</f>
        <v>0</v>
      </c>
      <c r="O22" s="112" t="s">
        <v>20</v>
      </c>
      <c r="P22" s="107">
        <v>3500</v>
      </c>
      <c r="Q22" s="102" t="s">
        <v>494</v>
      </c>
      <c r="R22" s="106" t="s">
        <v>38</v>
      </c>
      <c r="S22" s="110">
        <v>7400</v>
      </c>
      <c r="T22" s="102" t="s">
        <v>525</v>
      </c>
      <c r="U22" s="106" t="s">
        <v>38</v>
      </c>
      <c r="V22" s="16"/>
      <c r="W22" s="16"/>
    </row>
    <row r="23" spans="1:23" ht="12" customHeight="1">
      <c r="A23" s="101" t="s">
        <v>151</v>
      </c>
      <c r="B23" s="62" t="s">
        <v>295</v>
      </c>
      <c r="C23" s="122" t="s">
        <v>246</v>
      </c>
      <c r="D23" s="108" t="s">
        <v>148</v>
      </c>
      <c r="E23" s="102" t="s">
        <v>247</v>
      </c>
      <c r="F23" s="103" t="s">
        <v>142</v>
      </c>
      <c r="G23" s="104">
        <v>0.24</v>
      </c>
      <c r="H23" s="105" t="s">
        <v>20</v>
      </c>
      <c r="I23" s="102">
        <v>81</v>
      </c>
      <c r="J23" s="102">
        <v>83.5</v>
      </c>
      <c r="K23" s="106">
        <v>77</v>
      </c>
      <c r="L23" s="102">
        <f>AVERAGE(350,374,362,384,335,375,350,380)</f>
        <v>363.75</v>
      </c>
      <c r="M23" s="106" t="s">
        <v>781</v>
      </c>
      <c r="N23" s="102">
        <f>AVERAGE(425,395,435,383,450,405,441,395,419)</f>
        <v>416.44444444444446</v>
      </c>
      <c r="O23" s="102" t="s">
        <v>781</v>
      </c>
      <c r="P23" s="133">
        <v>465</v>
      </c>
      <c r="Q23" s="134" t="s">
        <v>435</v>
      </c>
      <c r="R23" s="135" t="s">
        <v>35</v>
      </c>
      <c r="S23" s="133">
        <v>485</v>
      </c>
      <c r="T23" s="134" t="s">
        <v>363</v>
      </c>
      <c r="U23" s="135" t="s">
        <v>37</v>
      </c>
      <c r="V23" s="16"/>
      <c r="W23" s="16"/>
    </row>
    <row r="24" spans="1:23" ht="12" customHeight="1">
      <c r="A24" s="101" t="s">
        <v>151</v>
      </c>
      <c r="B24" s="62" t="s">
        <v>301</v>
      </c>
      <c r="C24" s="122" t="s">
        <v>153</v>
      </c>
      <c r="D24" s="108" t="s">
        <v>138</v>
      </c>
      <c r="E24" s="102" t="s">
        <v>154</v>
      </c>
      <c r="F24" s="103" t="s">
        <v>46</v>
      </c>
      <c r="G24" s="104">
        <v>0.28</v>
      </c>
      <c r="H24" s="105">
        <v>0.615</v>
      </c>
      <c r="I24" s="102">
        <v>100</v>
      </c>
      <c r="J24" s="102">
        <v>87</v>
      </c>
      <c r="K24" s="106" t="s">
        <v>47</v>
      </c>
      <c r="L24" s="102">
        <f>AVERAGE(395,345,400,300,365,415)</f>
        <v>370</v>
      </c>
      <c r="M24" s="106" t="s">
        <v>781</v>
      </c>
      <c r="N24" s="102">
        <f>AVERAGE(524,622,499,549,484,542,550,485,455,560)</f>
        <v>527</v>
      </c>
      <c r="O24" s="102" t="s">
        <v>781</v>
      </c>
      <c r="P24" s="107">
        <v>695</v>
      </c>
      <c r="Q24" s="102" t="s">
        <v>731</v>
      </c>
      <c r="R24" s="106" t="s">
        <v>35</v>
      </c>
      <c r="S24" s="107">
        <v>650</v>
      </c>
      <c r="T24" s="102" t="s">
        <v>667</v>
      </c>
      <c r="U24" s="106" t="s">
        <v>39</v>
      </c>
      <c r="V24" s="16"/>
      <c r="W24" s="16"/>
    </row>
    <row r="25" spans="1:23" ht="12" customHeight="1">
      <c r="A25" s="101" t="s">
        <v>151</v>
      </c>
      <c r="B25" s="62" t="s">
        <v>295</v>
      </c>
      <c r="C25" s="105" t="s">
        <v>283</v>
      </c>
      <c r="D25" s="108">
        <v>2.8</v>
      </c>
      <c r="E25" s="120" t="s">
        <v>284</v>
      </c>
      <c r="F25" s="103" t="s">
        <v>142</v>
      </c>
      <c r="G25" s="104">
        <v>0.28</v>
      </c>
      <c r="H25" s="105">
        <v>0.445</v>
      </c>
      <c r="I25" s="102">
        <v>84.1</v>
      </c>
      <c r="J25" s="102">
        <v>74.1</v>
      </c>
      <c r="K25" s="106">
        <v>67</v>
      </c>
      <c r="L25" s="102">
        <f>AVERAGE(255,296,325,275)</f>
        <v>287.75</v>
      </c>
      <c r="M25" s="106" t="s">
        <v>704</v>
      </c>
      <c r="N25" s="102">
        <f>AVERAGE(317,325,299,365,400,340)</f>
        <v>341</v>
      </c>
      <c r="O25" s="102" t="s">
        <v>781</v>
      </c>
      <c r="P25" s="119">
        <v>250</v>
      </c>
      <c r="Q25" s="102" t="s">
        <v>667</v>
      </c>
      <c r="R25" s="118" t="s">
        <v>39</v>
      </c>
      <c r="S25" s="119">
        <v>310</v>
      </c>
      <c r="T25" s="102" t="s">
        <v>667</v>
      </c>
      <c r="U25" s="118" t="s">
        <v>39</v>
      </c>
      <c r="V25" s="16"/>
      <c r="W25" s="16"/>
    </row>
    <row r="26" spans="1:23" ht="12" customHeight="1">
      <c r="A26" s="101" t="s">
        <v>151</v>
      </c>
      <c r="B26" s="62" t="s">
        <v>570</v>
      </c>
      <c r="C26" s="105" t="s">
        <v>155</v>
      </c>
      <c r="D26" s="108">
        <v>2.8</v>
      </c>
      <c r="E26" s="105" t="s">
        <v>156</v>
      </c>
      <c r="F26" s="103" t="s">
        <v>46</v>
      </c>
      <c r="G26" s="104">
        <v>0.3</v>
      </c>
      <c r="H26" s="105">
        <v>0.6</v>
      </c>
      <c r="I26" s="102">
        <v>108</v>
      </c>
      <c r="J26" s="102">
        <v>89</v>
      </c>
      <c r="K26" s="106">
        <v>82</v>
      </c>
      <c r="L26" s="102">
        <f>AVERAGE(0)</f>
        <v>0</v>
      </c>
      <c r="M26" s="106" t="s">
        <v>20</v>
      </c>
      <c r="N26" s="102">
        <f>AVERAGE(280,271)</f>
        <v>275.5</v>
      </c>
      <c r="O26" s="102" t="s">
        <v>704</v>
      </c>
      <c r="P26" s="107">
        <v>300</v>
      </c>
      <c r="Q26" s="102" t="s">
        <v>376</v>
      </c>
      <c r="R26" s="106" t="s">
        <v>35</v>
      </c>
      <c r="S26" s="107">
        <v>325</v>
      </c>
      <c r="T26" s="102" t="s">
        <v>496</v>
      </c>
      <c r="U26" s="106" t="s">
        <v>35</v>
      </c>
      <c r="V26" s="16"/>
      <c r="W26" s="16"/>
    </row>
    <row r="27" spans="1:23" ht="12" customHeight="1">
      <c r="A27" s="101" t="s">
        <v>151</v>
      </c>
      <c r="B27" s="62" t="s">
        <v>302</v>
      </c>
      <c r="C27" s="105" t="s">
        <v>157</v>
      </c>
      <c r="D27" s="108">
        <v>2.8</v>
      </c>
      <c r="E27" s="105" t="s">
        <v>158</v>
      </c>
      <c r="F27" s="103" t="s">
        <v>46</v>
      </c>
      <c r="G27" s="104">
        <v>0.38</v>
      </c>
      <c r="H27" s="105">
        <v>0.555</v>
      </c>
      <c r="I27" s="102">
        <v>84.5</v>
      </c>
      <c r="J27" s="102">
        <v>88.6</v>
      </c>
      <c r="K27" s="106">
        <v>77</v>
      </c>
      <c r="L27" s="102">
        <f>AVERAGE(200,200,229)</f>
        <v>209.66666666666666</v>
      </c>
      <c r="M27" s="106" t="s">
        <v>516</v>
      </c>
      <c r="N27" s="102">
        <f>AVERAGE(228,200,238,240)</f>
        <v>226.5</v>
      </c>
      <c r="O27" s="102" t="s">
        <v>541</v>
      </c>
      <c r="P27" s="107">
        <v>300</v>
      </c>
      <c r="Q27" s="102" t="s">
        <v>523</v>
      </c>
      <c r="R27" s="106" t="s">
        <v>35</v>
      </c>
      <c r="S27" s="107">
        <v>350</v>
      </c>
      <c r="T27" s="102" t="s">
        <v>466</v>
      </c>
      <c r="U27" s="106" t="s">
        <v>39</v>
      </c>
      <c r="V27" s="16"/>
      <c r="W27" s="16"/>
    </row>
    <row r="28" spans="1:23" ht="12" customHeight="1">
      <c r="A28" s="101" t="s">
        <v>151</v>
      </c>
      <c r="B28" s="62" t="s">
        <v>303</v>
      </c>
      <c r="C28" s="105" t="s">
        <v>102</v>
      </c>
      <c r="D28" s="108">
        <v>2.8</v>
      </c>
      <c r="E28" s="105" t="s">
        <v>159</v>
      </c>
      <c r="F28" s="103" t="s">
        <v>46</v>
      </c>
      <c r="G28" s="104">
        <v>0.396</v>
      </c>
      <c r="H28" s="105">
        <v>0.7</v>
      </c>
      <c r="I28" s="102">
        <v>114.3</v>
      </c>
      <c r="J28" s="102">
        <v>88.9</v>
      </c>
      <c r="K28" s="106">
        <v>82</v>
      </c>
      <c r="L28" s="102">
        <f>AVERAGE(325,280,255,244,304)</f>
        <v>281.6</v>
      </c>
      <c r="M28" s="106" t="s">
        <v>781</v>
      </c>
      <c r="N28" s="102">
        <f>AVERAGE(420,405,350,360,375,377,354,375)</f>
        <v>377</v>
      </c>
      <c r="O28" s="102" t="s">
        <v>781</v>
      </c>
      <c r="P28" s="107">
        <v>300</v>
      </c>
      <c r="Q28" s="102" t="s">
        <v>781</v>
      </c>
      <c r="R28" s="106" t="s">
        <v>35</v>
      </c>
      <c r="S28" s="107">
        <v>490</v>
      </c>
      <c r="T28" s="102" t="s">
        <v>731</v>
      </c>
      <c r="U28" s="106" t="s">
        <v>39</v>
      </c>
      <c r="V28" s="16"/>
      <c r="W28" s="16"/>
    </row>
    <row r="29" spans="1:23" ht="12" customHeight="1">
      <c r="A29" s="101" t="s">
        <v>151</v>
      </c>
      <c r="B29" s="62" t="s">
        <v>304</v>
      </c>
      <c r="C29" s="105" t="s">
        <v>107</v>
      </c>
      <c r="D29" s="108">
        <v>2.8</v>
      </c>
      <c r="E29" s="105" t="s">
        <v>160</v>
      </c>
      <c r="F29" s="103" t="s">
        <v>46</v>
      </c>
      <c r="G29" s="104">
        <v>0.4</v>
      </c>
      <c r="H29" s="105">
        <v>0.645</v>
      </c>
      <c r="I29" s="102">
        <v>101</v>
      </c>
      <c r="J29" s="102">
        <v>84</v>
      </c>
      <c r="K29" s="106">
        <v>77</v>
      </c>
      <c r="L29" s="102" t="s">
        <v>20</v>
      </c>
      <c r="M29" s="106" t="s">
        <v>20</v>
      </c>
      <c r="N29" s="102">
        <f>AVERAGE(436,380,397,300,309,259,255,385)</f>
        <v>340.125</v>
      </c>
      <c r="O29" s="102" t="s">
        <v>781</v>
      </c>
      <c r="P29" s="107">
        <v>190</v>
      </c>
      <c r="Q29" s="102" t="s">
        <v>523</v>
      </c>
      <c r="R29" s="106" t="s">
        <v>39</v>
      </c>
      <c r="S29" s="107">
        <v>300</v>
      </c>
      <c r="T29" s="102" t="s">
        <v>466</v>
      </c>
      <c r="U29" s="106" t="s">
        <v>39</v>
      </c>
      <c r="V29" s="16"/>
      <c r="W29" s="16"/>
    </row>
    <row r="30" spans="1:23" ht="12" customHeight="1">
      <c r="A30" s="101" t="s">
        <v>151</v>
      </c>
      <c r="B30" s="62" t="s">
        <v>295</v>
      </c>
      <c r="C30" s="105" t="s">
        <v>572</v>
      </c>
      <c r="D30" s="108">
        <v>2.8</v>
      </c>
      <c r="E30" s="105" t="s">
        <v>573</v>
      </c>
      <c r="F30" s="103" t="s">
        <v>142</v>
      </c>
      <c r="G30" s="104">
        <v>1</v>
      </c>
      <c r="H30" s="105">
        <v>0.77</v>
      </c>
      <c r="I30" s="102">
        <v>135</v>
      </c>
      <c r="J30" s="102">
        <v>76</v>
      </c>
      <c r="K30" s="106">
        <v>67</v>
      </c>
      <c r="L30" s="102">
        <f>AVERAGE(350,373,430)</f>
        <v>384.3333333333333</v>
      </c>
      <c r="M30" s="106" t="s">
        <v>704</v>
      </c>
      <c r="N30" s="102">
        <f>AVERAGE(435,527,445,450,480,456,462)</f>
        <v>465</v>
      </c>
      <c r="O30" s="102" t="s">
        <v>781</v>
      </c>
      <c r="P30" s="107">
        <v>630</v>
      </c>
      <c r="Q30" s="102" t="s">
        <v>704</v>
      </c>
      <c r="R30" s="106" t="s">
        <v>38</v>
      </c>
      <c r="S30" s="107">
        <v>700</v>
      </c>
      <c r="T30" s="102" t="s">
        <v>704</v>
      </c>
      <c r="U30" s="106" t="s">
        <v>701</v>
      </c>
      <c r="V30" s="16"/>
      <c r="W30" s="16"/>
    </row>
    <row r="31" spans="1:23" ht="12" customHeight="1">
      <c r="A31" s="101" t="s">
        <v>151</v>
      </c>
      <c r="B31" s="62" t="s">
        <v>305</v>
      </c>
      <c r="C31" s="105" t="s">
        <v>161</v>
      </c>
      <c r="D31" s="108" t="s">
        <v>162</v>
      </c>
      <c r="E31" s="105" t="s">
        <v>163</v>
      </c>
      <c r="F31" s="103" t="s">
        <v>46</v>
      </c>
      <c r="G31" s="123" t="s">
        <v>164</v>
      </c>
      <c r="H31" s="105">
        <v>1.65</v>
      </c>
      <c r="I31" s="102">
        <v>218</v>
      </c>
      <c r="J31" s="102">
        <v>94</v>
      </c>
      <c r="K31" s="106" t="s">
        <v>165</v>
      </c>
      <c r="L31" s="102">
        <f>AVERAGE(699,560,600,567,499,525,650,630,626)</f>
        <v>595.1111111111111</v>
      </c>
      <c r="M31" s="106" t="s">
        <v>781</v>
      </c>
      <c r="N31" s="102">
        <f>AVERAGE(703,709,700,736,780,799,885,749,770)</f>
        <v>759</v>
      </c>
      <c r="O31" s="102" t="s">
        <v>704</v>
      </c>
      <c r="P31" s="107">
        <v>695</v>
      </c>
      <c r="Q31" s="102" t="s">
        <v>731</v>
      </c>
      <c r="R31" s="106" t="s">
        <v>35</v>
      </c>
      <c r="S31" s="107">
        <v>820</v>
      </c>
      <c r="T31" s="102" t="s">
        <v>731</v>
      </c>
      <c r="U31" s="106" t="s">
        <v>35</v>
      </c>
      <c r="V31" s="16"/>
      <c r="W31" s="16"/>
    </row>
    <row r="32" spans="1:23" ht="12" customHeight="1">
      <c r="A32" s="101" t="s">
        <v>151</v>
      </c>
      <c r="B32" s="62" t="s">
        <v>306</v>
      </c>
      <c r="C32" s="105" t="s">
        <v>114</v>
      </c>
      <c r="D32" s="108">
        <v>2.8</v>
      </c>
      <c r="E32" s="105" t="s">
        <v>166</v>
      </c>
      <c r="F32" s="103" t="s">
        <v>46</v>
      </c>
      <c r="G32" s="104">
        <v>1.8</v>
      </c>
      <c r="H32" s="105">
        <v>1.39</v>
      </c>
      <c r="I32" s="102">
        <v>180</v>
      </c>
      <c r="J32" s="102">
        <v>86</v>
      </c>
      <c r="K32" s="106">
        <v>77</v>
      </c>
      <c r="L32" s="102">
        <f>AVERAGE(580,573,550,520,580,570,600,610,512,490,499)</f>
        <v>553.0909090909091</v>
      </c>
      <c r="M32" s="106" t="s">
        <v>731</v>
      </c>
      <c r="N32" s="102">
        <f>AVERAGE(685,719,690,795,610,740,599,700,720,750)</f>
        <v>700.8</v>
      </c>
      <c r="O32" s="102" t="s">
        <v>781</v>
      </c>
      <c r="P32" s="107">
        <v>616</v>
      </c>
      <c r="Q32" s="102" t="s">
        <v>781</v>
      </c>
      <c r="R32" s="106" t="s">
        <v>35</v>
      </c>
      <c r="S32" s="107">
        <v>725</v>
      </c>
      <c r="T32" s="102" t="s">
        <v>781</v>
      </c>
      <c r="U32" s="106" t="s">
        <v>35</v>
      </c>
      <c r="V32" s="16"/>
      <c r="W32" s="16"/>
    </row>
    <row r="33" spans="1:23" ht="12" customHeight="1">
      <c r="A33" s="101" t="s">
        <v>151</v>
      </c>
      <c r="B33" s="62" t="s">
        <v>459</v>
      </c>
      <c r="C33" s="105" t="s">
        <v>134</v>
      </c>
      <c r="D33" s="102">
        <v>4</v>
      </c>
      <c r="E33" s="105" t="s">
        <v>460</v>
      </c>
      <c r="F33" s="103" t="s">
        <v>46</v>
      </c>
      <c r="G33" s="104">
        <v>1.8</v>
      </c>
      <c r="H33" s="105">
        <v>1.48</v>
      </c>
      <c r="I33" s="102">
        <v>224</v>
      </c>
      <c r="J33" s="102">
        <v>92</v>
      </c>
      <c r="K33" s="106">
        <v>82</v>
      </c>
      <c r="L33" s="102">
        <f>AVERAGE(599,570,561,540,300,610)</f>
        <v>530</v>
      </c>
      <c r="M33" s="106" t="s">
        <v>731</v>
      </c>
      <c r="N33" s="102">
        <f>AVERAGE(750,722,750,700,700,699,806)</f>
        <v>732.4285714285714</v>
      </c>
      <c r="O33" s="102" t="s">
        <v>781</v>
      </c>
      <c r="P33" s="107">
        <v>920</v>
      </c>
      <c r="Q33" s="102" t="s">
        <v>781</v>
      </c>
      <c r="R33" s="106" t="s">
        <v>35</v>
      </c>
      <c r="S33" s="107" t="s">
        <v>20</v>
      </c>
      <c r="T33" s="102" t="s">
        <v>20</v>
      </c>
      <c r="U33" s="106" t="s">
        <v>20</v>
      </c>
      <c r="V33" s="16"/>
      <c r="W33" s="16"/>
    </row>
    <row r="34" spans="1:23" ht="12" customHeight="1">
      <c r="A34" s="101" t="s">
        <v>151</v>
      </c>
      <c r="B34" s="62" t="s">
        <v>307</v>
      </c>
      <c r="C34" s="105" t="s">
        <v>167</v>
      </c>
      <c r="D34" s="108">
        <v>2.8</v>
      </c>
      <c r="E34" s="105" t="s">
        <v>168</v>
      </c>
      <c r="F34" s="103" t="s">
        <v>46</v>
      </c>
      <c r="G34" s="104">
        <v>2.5</v>
      </c>
      <c r="H34" s="105">
        <v>2.6</v>
      </c>
      <c r="I34" s="102">
        <v>268.5</v>
      </c>
      <c r="J34" s="102">
        <v>112.8</v>
      </c>
      <c r="K34" s="106">
        <v>105</v>
      </c>
      <c r="L34" s="102">
        <f>AVERAGE(1154,1205,1395,1555,1555,1500)</f>
        <v>1394</v>
      </c>
      <c r="M34" s="106" t="s">
        <v>667</v>
      </c>
      <c r="N34" s="102">
        <f>AVERAGE(1975,1800,1650,1650,1749,1700)</f>
        <v>1754</v>
      </c>
      <c r="O34" s="102" t="s">
        <v>781</v>
      </c>
      <c r="P34" s="107">
        <v>1900</v>
      </c>
      <c r="Q34" s="102" t="s">
        <v>781</v>
      </c>
      <c r="R34" s="106" t="s">
        <v>35</v>
      </c>
      <c r="S34" s="107">
        <v>1950</v>
      </c>
      <c r="T34" s="102" t="s">
        <v>552</v>
      </c>
      <c r="U34" s="106" t="s">
        <v>35</v>
      </c>
      <c r="V34" s="16"/>
      <c r="W34" s="16"/>
    </row>
    <row r="35" spans="1:23" ht="12" customHeight="1">
      <c r="A35" s="101" t="s">
        <v>151</v>
      </c>
      <c r="B35" s="62" t="s">
        <v>483</v>
      </c>
      <c r="C35" s="105" t="s">
        <v>484</v>
      </c>
      <c r="D35" s="108">
        <v>5</v>
      </c>
      <c r="E35" s="105" t="s">
        <v>485</v>
      </c>
      <c r="F35" s="103" t="s">
        <v>46</v>
      </c>
      <c r="G35" s="104">
        <v>2.2</v>
      </c>
      <c r="H35" s="105">
        <v>1.91</v>
      </c>
      <c r="I35" s="102">
        <v>252</v>
      </c>
      <c r="J35" s="102">
        <v>74.7</v>
      </c>
      <c r="K35" s="106">
        <v>58</v>
      </c>
      <c r="L35" s="102">
        <f>AVERAGE(760,755,800)</f>
        <v>771.6666666666666</v>
      </c>
      <c r="M35" s="106" t="s">
        <v>781</v>
      </c>
      <c r="N35" s="102">
        <f>AVERAGE(990,740,735,903,900)</f>
        <v>853.6</v>
      </c>
      <c r="O35" s="102" t="s">
        <v>731</v>
      </c>
      <c r="P35" s="107" t="s">
        <v>20</v>
      </c>
      <c r="Q35" s="102" t="s">
        <v>20</v>
      </c>
      <c r="R35" s="106" t="s">
        <v>20</v>
      </c>
      <c r="S35" s="107" t="s">
        <v>20</v>
      </c>
      <c r="T35" s="102" t="s">
        <v>20</v>
      </c>
      <c r="U35" s="106" t="s">
        <v>20</v>
      </c>
      <c r="V35" s="16"/>
      <c r="W35" s="16"/>
    </row>
    <row r="36" spans="1:23" ht="12" customHeight="1">
      <c r="A36" s="101" t="s">
        <v>151</v>
      </c>
      <c r="B36" s="62" t="s">
        <v>308</v>
      </c>
      <c r="C36" s="105" t="s">
        <v>184</v>
      </c>
      <c r="D36" s="108">
        <v>2.8</v>
      </c>
      <c r="E36" s="105" t="s">
        <v>532</v>
      </c>
      <c r="F36" s="103" t="s">
        <v>46</v>
      </c>
      <c r="G36" s="104" t="s">
        <v>535</v>
      </c>
      <c r="H36" s="105">
        <v>15.7</v>
      </c>
      <c r="I36" s="102">
        <v>726</v>
      </c>
      <c r="J36" s="102">
        <v>236</v>
      </c>
      <c r="K36" s="106" t="s">
        <v>534</v>
      </c>
      <c r="L36" s="102">
        <f>AVERAGE(0)</f>
        <v>0</v>
      </c>
      <c r="M36" s="106" t="s">
        <v>20</v>
      </c>
      <c r="N36" s="102" t="s">
        <v>533</v>
      </c>
      <c r="O36" s="102" t="s">
        <v>536</v>
      </c>
      <c r="P36" s="107" t="s">
        <v>20</v>
      </c>
      <c r="Q36" s="102" t="s">
        <v>20</v>
      </c>
      <c r="R36" s="106" t="s">
        <v>20</v>
      </c>
      <c r="S36" s="110" t="s">
        <v>599</v>
      </c>
      <c r="T36" s="102" t="s">
        <v>601</v>
      </c>
      <c r="U36" s="106" t="s">
        <v>38</v>
      </c>
      <c r="V36" s="16"/>
      <c r="W36" s="16"/>
    </row>
    <row r="37" spans="1:23" ht="12" customHeight="1">
      <c r="A37" s="111" t="s">
        <v>151</v>
      </c>
      <c r="B37" s="64" t="s">
        <v>308</v>
      </c>
      <c r="C37" s="112" t="s">
        <v>170</v>
      </c>
      <c r="D37" s="113">
        <v>5.6</v>
      </c>
      <c r="E37" s="112" t="s">
        <v>171</v>
      </c>
      <c r="F37" s="114" t="s">
        <v>46</v>
      </c>
      <c r="G37" s="115">
        <v>6</v>
      </c>
      <c r="H37" s="116">
        <v>5.87</v>
      </c>
      <c r="I37" s="112">
        <v>541.5</v>
      </c>
      <c r="J37" s="112">
        <v>165.5</v>
      </c>
      <c r="K37" s="117" t="s">
        <v>172</v>
      </c>
      <c r="L37" s="121">
        <f>AVERAGE(0)</f>
        <v>0</v>
      </c>
      <c r="M37" s="117" t="s">
        <v>20</v>
      </c>
      <c r="N37" s="112">
        <f>AVERAGE(3750,3000,4000)</f>
        <v>3583.3333333333335</v>
      </c>
      <c r="O37" s="112" t="s">
        <v>363</v>
      </c>
      <c r="P37" s="121">
        <v>4500</v>
      </c>
      <c r="Q37" s="112" t="s">
        <v>781</v>
      </c>
      <c r="R37" s="117" t="s">
        <v>39</v>
      </c>
      <c r="S37" s="124">
        <v>7400</v>
      </c>
      <c r="T37" s="112" t="s">
        <v>525</v>
      </c>
      <c r="U37" s="117" t="s">
        <v>38</v>
      </c>
      <c r="V37" s="16"/>
      <c r="W37" s="16"/>
    </row>
    <row r="38" spans="1:21" s="41" customFormat="1" ht="12" customHeight="1">
      <c r="A38" s="143" t="s">
        <v>627</v>
      </c>
      <c r="B38" s="74"/>
      <c r="C38" s="30"/>
      <c r="D38" s="75" t="s">
        <v>20</v>
      </c>
      <c r="E38" s="30" t="s">
        <v>20</v>
      </c>
      <c r="F38" s="78" t="s">
        <v>20</v>
      </c>
      <c r="G38" s="76" t="s">
        <v>20</v>
      </c>
      <c r="H38" s="77" t="s">
        <v>20</v>
      </c>
      <c r="I38" s="30" t="s">
        <v>20</v>
      </c>
      <c r="J38" s="30" t="s">
        <v>20</v>
      </c>
      <c r="K38" s="30" t="s">
        <v>20</v>
      </c>
      <c r="L38" s="30" t="s">
        <v>20</v>
      </c>
      <c r="M38" s="30" t="s">
        <v>20</v>
      </c>
      <c r="N38" s="30" t="s">
        <v>20</v>
      </c>
      <c r="O38" s="30" t="s">
        <v>20</v>
      </c>
      <c r="P38" s="30" t="s">
        <v>20</v>
      </c>
      <c r="Q38" s="30" t="s">
        <v>20</v>
      </c>
      <c r="R38" s="30" t="s">
        <v>20</v>
      </c>
      <c r="S38" s="30" t="s">
        <v>20</v>
      </c>
      <c r="T38" s="30" t="s">
        <v>20</v>
      </c>
      <c r="U38" s="30" t="s">
        <v>20</v>
      </c>
    </row>
    <row r="39" spans="1:23" ht="12" customHeight="1">
      <c r="A39" s="101" t="s">
        <v>173</v>
      </c>
      <c r="B39" s="62" t="s">
        <v>609</v>
      </c>
      <c r="C39" s="102">
        <v>14</v>
      </c>
      <c r="D39" s="108">
        <v>2.8</v>
      </c>
      <c r="E39" s="102">
        <f aca="true" t="shared" si="1" ref="E39:E51">1.6*C39</f>
        <v>22.400000000000002</v>
      </c>
      <c r="F39" s="103" t="s">
        <v>46</v>
      </c>
      <c r="G39" s="104">
        <v>0.2</v>
      </c>
      <c r="H39" s="105">
        <v>0.66</v>
      </c>
      <c r="I39" s="102">
        <v>89</v>
      </c>
      <c r="J39" s="102">
        <v>87</v>
      </c>
      <c r="K39" s="106" t="s">
        <v>152</v>
      </c>
      <c r="L39" s="102">
        <f>AVERAGE(514,460,393,550,406,560,455,435)</f>
        <v>471.625</v>
      </c>
      <c r="M39" s="106" t="s">
        <v>541</v>
      </c>
      <c r="N39" s="109">
        <f>AVERAGE(510,560,725,475,500,549,550,596,536)</f>
        <v>555.6666666666666</v>
      </c>
      <c r="O39" s="102" t="s">
        <v>661</v>
      </c>
      <c r="P39" s="107">
        <v>650</v>
      </c>
      <c r="Q39" s="102" t="s">
        <v>466</v>
      </c>
      <c r="R39" s="106" t="s">
        <v>39</v>
      </c>
      <c r="S39" s="107">
        <v>580</v>
      </c>
      <c r="T39" s="102" t="s">
        <v>781</v>
      </c>
      <c r="U39" s="106" t="s">
        <v>689</v>
      </c>
      <c r="V39" s="16"/>
      <c r="W39" s="16"/>
    </row>
    <row r="40" spans="1:23" ht="12" customHeight="1">
      <c r="A40" s="101" t="s">
        <v>173</v>
      </c>
      <c r="B40" s="62" t="s">
        <v>741</v>
      </c>
      <c r="C40" s="102">
        <v>17</v>
      </c>
      <c r="D40" s="108">
        <v>3.5</v>
      </c>
      <c r="E40" s="102">
        <f>1.6*C40</f>
        <v>27.200000000000003</v>
      </c>
      <c r="F40" s="103" t="s">
        <v>174</v>
      </c>
      <c r="G40" s="104">
        <v>0.25</v>
      </c>
      <c r="H40" s="105">
        <v>0.27</v>
      </c>
      <c r="I40" s="102">
        <v>45</v>
      </c>
      <c r="J40" s="102">
        <v>70</v>
      </c>
      <c r="K40" s="106" t="s">
        <v>662</v>
      </c>
      <c r="L40" s="107">
        <f>AVERAGE(130,116,110,150,153)</f>
        <v>131.8</v>
      </c>
      <c r="M40" s="106" t="s">
        <v>781</v>
      </c>
      <c r="N40" s="102">
        <f>AVERAGE(269,204,200,230,140,173,175,190)</f>
        <v>197.625</v>
      </c>
      <c r="O40" s="102" t="s">
        <v>781</v>
      </c>
      <c r="P40" s="107">
        <v>255</v>
      </c>
      <c r="Q40" s="102" t="s">
        <v>781</v>
      </c>
      <c r="R40" s="106" t="s">
        <v>35</v>
      </c>
      <c r="S40" s="107" t="s">
        <v>20</v>
      </c>
      <c r="T40" s="102" t="s">
        <v>20</v>
      </c>
      <c r="U40" s="106" t="s">
        <v>20</v>
      </c>
      <c r="V40" s="16"/>
      <c r="W40" s="16"/>
    </row>
    <row r="41" spans="1:23" ht="12" customHeight="1">
      <c r="A41" s="101" t="s">
        <v>173</v>
      </c>
      <c r="B41" s="62" t="s">
        <v>740</v>
      </c>
      <c r="C41" s="102">
        <v>17</v>
      </c>
      <c r="D41" s="108">
        <v>3.5</v>
      </c>
      <c r="E41" s="102">
        <f t="shared" si="1"/>
        <v>27.200000000000003</v>
      </c>
      <c r="F41" s="103" t="s">
        <v>174</v>
      </c>
      <c r="G41" s="104">
        <v>0.25</v>
      </c>
      <c r="H41" s="105">
        <v>0.27</v>
      </c>
      <c r="I41" s="102">
        <v>48</v>
      </c>
      <c r="J41" s="102">
        <v>71</v>
      </c>
      <c r="K41" s="106" t="s">
        <v>662</v>
      </c>
      <c r="L41" s="107">
        <f>AVERAGE(189,179,203)</f>
        <v>190.33333333333334</v>
      </c>
      <c r="M41" s="106" t="s">
        <v>781</v>
      </c>
      <c r="N41" s="102">
        <f>AVERAGE(263,220)</f>
        <v>241.5</v>
      </c>
      <c r="O41" s="102" t="s">
        <v>661</v>
      </c>
      <c r="P41" s="107">
        <v>200</v>
      </c>
      <c r="Q41" s="102" t="s">
        <v>781</v>
      </c>
      <c r="R41" s="106" t="s">
        <v>39</v>
      </c>
      <c r="S41" s="107" t="s">
        <v>20</v>
      </c>
      <c r="T41" s="102" t="s">
        <v>20</v>
      </c>
      <c r="U41" s="106" t="s">
        <v>20</v>
      </c>
      <c r="V41" s="16"/>
      <c r="W41" s="16"/>
    </row>
    <row r="42" spans="1:23" ht="12" customHeight="1">
      <c r="A42" s="101" t="s">
        <v>173</v>
      </c>
      <c r="B42" s="62" t="s">
        <v>613</v>
      </c>
      <c r="C42" s="102">
        <v>90</v>
      </c>
      <c r="D42" s="108">
        <v>2.5</v>
      </c>
      <c r="E42" s="102">
        <f t="shared" si="1"/>
        <v>144</v>
      </c>
      <c r="F42" s="103" t="s">
        <v>174</v>
      </c>
      <c r="G42" s="104">
        <v>0.39</v>
      </c>
      <c r="H42" s="105">
        <v>0.41</v>
      </c>
      <c r="I42" s="102">
        <v>102</v>
      </c>
      <c r="J42" s="102">
        <v>68</v>
      </c>
      <c r="K42" s="106">
        <v>55</v>
      </c>
      <c r="L42" s="107">
        <f>AVERAGE(146,114,120,110,130,116)</f>
        <v>122.66666666666667</v>
      </c>
      <c r="M42" s="106" t="s">
        <v>704</v>
      </c>
      <c r="N42" s="102">
        <f>AVERAGE(213)</f>
        <v>213</v>
      </c>
      <c r="O42" s="102" t="s">
        <v>453</v>
      </c>
      <c r="P42" s="107">
        <v>215</v>
      </c>
      <c r="Q42" s="102" t="s">
        <v>781</v>
      </c>
      <c r="R42" s="106" t="s">
        <v>35</v>
      </c>
      <c r="S42" s="107">
        <v>350</v>
      </c>
      <c r="T42" s="102" t="s">
        <v>781</v>
      </c>
      <c r="U42" s="106" t="s">
        <v>780</v>
      </c>
      <c r="V42" s="16"/>
      <c r="W42" s="16"/>
    </row>
    <row r="43" spans="1:23" ht="12" customHeight="1">
      <c r="A43" s="101" t="s">
        <v>173</v>
      </c>
      <c r="B43" s="62" t="s">
        <v>309</v>
      </c>
      <c r="C43" s="102">
        <v>90</v>
      </c>
      <c r="D43" s="108">
        <v>2.8</v>
      </c>
      <c r="E43" s="102">
        <f t="shared" si="1"/>
        <v>144</v>
      </c>
      <c r="F43" s="103" t="s">
        <v>46</v>
      </c>
      <c r="G43" s="104">
        <v>0.29</v>
      </c>
      <c r="H43" s="105">
        <v>0.4</v>
      </c>
      <c r="I43" s="102">
        <v>97</v>
      </c>
      <c r="J43" s="102">
        <v>71</v>
      </c>
      <c r="K43" s="106">
        <v>55</v>
      </c>
      <c r="L43" s="102">
        <f>AVERAGE(233,204,213,210,201,260,245,178)</f>
        <v>218</v>
      </c>
      <c r="M43" s="106" t="s">
        <v>731</v>
      </c>
      <c r="N43" s="109">
        <f>AVERAGE(315,350,318,371,330,310,330,370,360,285,320)</f>
        <v>332.6363636363636</v>
      </c>
      <c r="O43" s="102" t="s">
        <v>781</v>
      </c>
      <c r="P43" s="107">
        <v>310</v>
      </c>
      <c r="Q43" s="102" t="s">
        <v>781</v>
      </c>
      <c r="R43" s="106" t="s">
        <v>35</v>
      </c>
      <c r="S43" s="107">
        <v>350</v>
      </c>
      <c r="T43" s="102" t="s">
        <v>781</v>
      </c>
      <c r="U43" s="106" t="s">
        <v>35</v>
      </c>
      <c r="V43" s="16"/>
      <c r="W43" s="16"/>
    </row>
    <row r="44" spans="1:23" ht="12" customHeight="1">
      <c r="A44" s="111" t="s">
        <v>173</v>
      </c>
      <c r="B44" s="64" t="s">
        <v>614</v>
      </c>
      <c r="C44" s="112">
        <v>90</v>
      </c>
      <c r="D44" s="113">
        <v>2.8</v>
      </c>
      <c r="E44" s="112">
        <f t="shared" si="1"/>
        <v>144</v>
      </c>
      <c r="F44" s="114" t="s">
        <v>20</v>
      </c>
      <c r="G44" s="115" t="s">
        <v>20</v>
      </c>
      <c r="H44" s="116" t="s">
        <v>20</v>
      </c>
      <c r="I44" s="112" t="s">
        <v>20</v>
      </c>
      <c r="J44" s="112" t="s">
        <v>20</v>
      </c>
      <c r="K44" s="117" t="s">
        <v>20</v>
      </c>
      <c r="L44" s="112">
        <f>AVERAGE(200,189,206,192,250)</f>
        <v>207.4</v>
      </c>
      <c r="M44" s="117" t="s">
        <v>501</v>
      </c>
      <c r="N44" s="112">
        <f>AVERAGE(305,250,325,300,255,326)</f>
        <v>293.5</v>
      </c>
      <c r="O44" s="112" t="s">
        <v>767</v>
      </c>
      <c r="P44" s="121" t="s">
        <v>20</v>
      </c>
      <c r="Q44" s="112" t="s">
        <v>20</v>
      </c>
      <c r="R44" s="117" t="s">
        <v>20</v>
      </c>
      <c r="S44" s="121">
        <v>250</v>
      </c>
      <c r="T44" s="112" t="s">
        <v>781</v>
      </c>
      <c r="U44" s="117" t="s">
        <v>38</v>
      </c>
      <c r="V44" s="16"/>
      <c r="W44" s="16"/>
    </row>
    <row r="45" spans="1:23" ht="12" customHeight="1">
      <c r="A45" s="101" t="s">
        <v>173</v>
      </c>
      <c r="B45" s="62" t="s">
        <v>341</v>
      </c>
      <c r="C45" s="102">
        <v>180</v>
      </c>
      <c r="D45" s="108">
        <v>2.5</v>
      </c>
      <c r="E45" s="102">
        <f t="shared" si="1"/>
        <v>288</v>
      </c>
      <c r="F45" s="103" t="s">
        <v>174</v>
      </c>
      <c r="G45" s="104">
        <v>1.2</v>
      </c>
      <c r="H45" s="105">
        <v>0.87</v>
      </c>
      <c r="I45" s="102">
        <v>120</v>
      </c>
      <c r="J45" s="102">
        <v>82</v>
      </c>
      <c r="K45" s="106">
        <v>77</v>
      </c>
      <c r="L45" s="107">
        <f>AVERAGE(375,380,390,325,275)</f>
        <v>349</v>
      </c>
      <c r="M45" s="106" t="s">
        <v>536</v>
      </c>
      <c r="N45" s="102">
        <f>AVERAGE(416,474,500)</f>
        <v>463.3333333333333</v>
      </c>
      <c r="O45" s="102" t="s">
        <v>781</v>
      </c>
      <c r="P45" s="107">
        <v>275</v>
      </c>
      <c r="Q45" s="102" t="s">
        <v>329</v>
      </c>
      <c r="R45" s="106" t="s">
        <v>39</v>
      </c>
      <c r="S45" s="107">
        <v>400</v>
      </c>
      <c r="T45" s="102" t="s">
        <v>329</v>
      </c>
      <c r="U45" s="106" t="s">
        <v>41</v>
      </c>
      <c r="V45" s="16"/>
      <c r="W45" s="16"/>
    </row>
    <row r="46" spans="1:23" ht="12" customHeight="1">
      <c r="A46" s="101" t="s">
        <v>173</v>
      </c>
      <c r="B46" s="62" t="s">
        <v>309</v>
      </c>
      <c r="C46" s="102">
        <v>180</v>
      </c>
      <c r="D46" s="108">
        <v>3.5</v>
      </c>
      <c r="E46" s="102">
        <f t="shared" si="1"/>
        <v>288</v>
      </c>
      <c r="F46" s="103" t="s">
        <v>46</v>
      </c>
      <c r="G46" s="104">
        <v>0.47</v>
      </c>
      <c r="H46" s="105">
        <v>0.92</v>
      </c>
      <c r="I46" s="102">
        <v>165.7</v>
      </c>
      <c r="J46" s="102">
        <v>84.8</v>
      </c>
      <c r="K46" s="106">
        <v>72</v>
      </c>
      <c r="L46" s="107">
        <f>AVERAGE(375,380,425,380,386,456)</f>
        <v>400.3333333333333</v>
      </c>
      <c r="M46" s="106" t="s">
        <v>553</v>
      </c>
      <c r="N46" s="102">
        <f>AVERAGE(504,699,510,613,504,540,530,562,520)</f>
        <v>553.5555555555555</v>
      </c>
      <c r="O46" s="102" t="s">
        <v>781</v>
      </c>
      <c r="P46" s="107">
        <v>500</v>
      </c>
      <c r="Q46" s="102" t="s">
        <v>767</v>
      </c>
      <c r="R46" s="106" t="s">
        <v>38</v>
      </c>
      <c r="S46" s="107">
        <v>570</v>
      </c>
      <c r="T46" s="102" t="s">
        <v>435</v>
      </c>
      <c r="U46" s="106" t="s">
        <v>35</v>
      </c>
      <c r="V46" s="16"/>
      <c r="W46" s="16"/>
    </row>
    <row r="47" spans="1:23" ht="12" customHeight="1">
      <c r="A47" s="101" t="s">
        <v>173</v>
      </c>
      <c r="B47" s="62" t="s">
        <v>310</v>
      </c>
      <c r="C47" s="102">
        <v>300</v>
      </c>
      <c r="D47" s="108">
        <v>2.8</v>
      </c>
      <c r="E47" s="102">
        <f t="shared" si="1"/>
        <v>480</v>
      </c>
      <c r="F47" s="103" t="s">
        <v>174</v>
      </c>
      <c r="G47" s="104">
        <v>2.5</v>
      </c>
      <c r="H47" s="105">
        <v>2.21</v>
      </c>
      <c r="I47" s="102">
        <v>212</v>
      </c>
      <c r="J47" s="102">
        <v>120</v>
      </c>
      <c r="K47" s="106" t="s">
        <v>418</v>
      </c>
      <c r="L47" s="107">
        <f>AVERAGE(687,725,770)</f>
        <v>727.3333333333334</v>
      </c>
      <c r="M47" s="106" t="s">
        <v>661</v>
      </c>
      <c r="N47" s="102">
        <f>AVERAGE(1200)</f>
        <v>1200</v>
      </c>
      <c r="O47" s="102" t="s">
        <v>536</v>
      </c>
      <c r="P47" s="107" t="s">
        <v>20</v>
      </c>
      <c r="Q47" s="102" t="s">
        <v>20</v>
      </c>
      <c r="R47" s="106" t="s">
        <v>20</v>
      </c>
      <c r="S47" s="107" t="s">
        <v>20</v>
      </c>
      <c r="T47" s="102" t="s">
        <v>20</v>
      </c>
      <c r="U47" s="106" t="s">
        <v>20</v>
      </c>
      <c r="V47" s="16"/>
      <c r="W47" s="16"/>
    </row>
    <row r="48" spans="1:23" ht="12" customHeight="1">
      <c r="A48" s="101" t="s">
        <v>173</v>
      </c>
      <c r="B48" s="62" t="s">
        <v>311</v>
      </c>
      <c r="C48" s="102">
        <v>300</v>
      </c>
      <c r="D48" s="108">
        <v>2.8</v>
      </c>
      <c r="E48" s="102">
        <f t="shared" si="1"/>
        <v>480</v>
      </c>
      <c r="F48" s="103" t="s">
        <v>174</v>
      </c>
      <c r="G48" s="104">
        <v>2.5</v>
      </c>
      <c r="H48" s="105">
        <v>2.21</v>
      </c>
      <c r="I48" s="102">
        <v>212</v>
      </c>
      <c r="J48" s="102">
        <v>120</v>
      </c>
      <c r="K48" s="106" t="s">
        <v>418</v>
      </c>
      <c r="L48" s="107">
        <f>AVERAGE(530,581,580,699,661,595)</f>
        <v>607.6666666666666</v>
      </c>
      <c r="M48" s="106" t="s">
        <v>731</v>
      </c>
      <c r="N48" s="102">
        <f>AVERAGE(700,500,900,1125)</f>
        <v>806.25</v>
      </c>
      <c r="O48" s="102" t="s">
        <v>731</v>
      </c>
      <c r="P48" s="107">
        <v>800</v>
      </c>
      <c r="Q48" s="102" t="s">
        <v>767</v>
      </c>
      <c r="R48" s="106" t="s">
        <v>38</v>
      </c>
      <c r="S48" s="107" t="s">
        <v>20</v>
      </c>
      <c r="T48" s="102" t="s">
        <v>20</v>
      </c>
      <c r="U48" s="106" t="s">
        <v>20</v>
      </c>
      <c r="V48" s="16"/>
      <c r="W48" s="16"/>
    </row>
    <row r="49" spans="1:23" ht="12" customHeight="1">
      <c r="A49" s="101" t="s">
        <v>173</v>
      </c>
      <c r="B49" s="62" t="s">
        <v>312</v>
      </c>
      <c r="C49" s="102">
        <v>300</v>
      </c>
      <c r="D49" s="108">
        <v>2.8</v>
      </c>
      <c r="E49" s="102">
        <f t="shared" si="1"/>
        <v>480</v>
      </c>
      <c r="F49" s="103" t="s">
        <v>46</v>
      </c>
      <c r="G49" s="104">
        <v>2.5</v>
      </c>
      <c r="H49" s="105">
        <v>2.8</v>
      </c>
      <c r="I49" s="102">
        <v>216</v>
      </c>
      <c r="J49" s="102">
        <v>119</v>
      </c>
      <c r="K49" s="106" t="s">
        <v>418</v>
      </c>
      <c r="L49" s="107">
        <f>AVERAGE(1227)</f>
        <v>1227</v>
      </c>
      <c r="M49" s="106" t="s">
        <v>494</v>
      </c>
      <c r="N49" s="102">
        <f>AVERAGE(1100)</f>
        <v>1100</v>
      </c>
      <c r="O49" s="102" t="s">
        <v>536</v>
      </c>
      <c r="P49" s="107">
        <v>1150</v>
      </c>
      <c r="Q49" s="102" t="s">
        <v>462</v>
      </c>
      <c r="R49" s="106" t="s">
        <v>31</v>
      </c>
      <c r="S49" s="107">
        <v>2100</v>
      </c>
      <c r="T49" s="102" t="s">
        <v>376</v>
      </c>
      <c r="U49" s="106" t="s">
        <v>38</v>
      </c>
      <c r="V49" s="16"/>
      <c r="W49" s="16"/>
    </row>
    <row r="50" spans="1:23" ht="12" customHeight="1">
      <c r="A50" s="101" t="s">
        <v>173</v>
      </c>
      <c r="B50" s="62" t="s">
        <v>736</v>
      </c>
      <c r="C50" s="102">
        <v>300</v>
      </c>
      <c r="D50" s="108">
        <v>5.6</v>
      </c>
      <c r="E50" s="102">
        <v>480</v>
      </c>
      <c r="F50" s="103" t="s">
        <v>174</v>
      </c>
      <c r="G50" s="104">
        <v>1.4</v>
      </c>
      <c r="H50" s="105">
        <v>0.65</v>
      </c>
      <c r="I50" s="102">
        <v>170</v>
      </c>
      <c r="J50" s="102">
        <v>65</v>
      </c>
      <c r="K50" s="106">
        <v>58</v>
      </c>
      <c r="L50" s="102">
        <v>70</v>
      </c>
      <c r="M50" s="118" t="s">
        <v>671</v>
      </c>
      <c r="N50" s="102">
        <v>99</v>
      </c>
      <c r="O50" s="102" t="s">
        <v>737</v>
      </c>
      <c r="P50" s="107">
        <v>155</v>
      </c>
      <c r="Q50" s="102" t="s">
        <v>738</v>
      </c>
      <c r="R50" s="106" t="s">
        <v>39</v>
      </c>
      <c r="S50" s="107">
        <v>200</v>
      </c>
      <c r="T50" s="102" t="s">
        <v>739</v>
      </c>
      <c r="U50" s="106" t="s">
        <v>39</v>
      </c>
      <c r="V50" s="16"/>
      <c r="W50" s="16"/>
    </row>
    <row r="51" spans="1:23" ht="12" customHeight="1">
      <c r="A51" s="111" t="s">
        <v>173</v>
      </c>
      <c r="B51" s="64" t="s">
        <v>313</v>
      </c>
      <c r="C51" s="112">
        <v>400</v>
      </c>
      <c r="D51" s="112">
        <v>4</v>
      </c>
      <c r="E51" s="112">
        <f t="shared" si="1"/>
        <v>640</v>
      </c>
      <c r="F51" s="114" t="s">
        <v>174</v>
      </c>
      <c r="G51" s="115">
        <v>3</v>
      </c>
      <c r="H51" s="116">
        <v>2.3</v>
      </c>
      <c r="I51" s="112">
        <v>293</v>
      </c>
      <c r="J51" s="112">
        <v>118</v>
      </c>
      <c r="K51" s="117" t="s">
        <v>418</v>
      </c>
      <c r="L51" s="112">
        <f>AVERAGE(785,711,799,829,687,685,747,687,811)</f>
        <v>749</v>
      </c>
      <c r="M51" s="117" t="s">
        <v>731</v>
      </c>
      <c r="N51" s="112">
        <f>AVERAGE(899,1000,900,890,1050,850,911,811)</f>
        <v>913.875</v>
      </c>
      <c r="O51" s="112" t="s">
        <v>781</v>
      </c>
      <c r="P51" s="107">
        <v>700</v>
      </c>
      <c r="Q51" s="102" t="s">
        <v>494</v>
      </c>
      <c r="R51" s="106" t="s">
        <v>38</v>
      </c>
      <c r="S51" s="107">
        <v>800</v>
      </c>
      <c r="T51" s="102" t="s">
        <v>494</v>
      </c>
      <c r="U51" s="106" t="s">
        <v>38</v>
      </c>
      <c r="V51" s="16"/>
      <c r="W51" s="16"/>
    </row>
    <row r="52" spans="1:23" ht="12" customHeight="1">
      <c r="A52" s="101" t="s">
        <v>173</v>
      </c>
      <c r="B52" s="62" t="s">
        <v>314</v>
      </c>
      <c r="C52" s="122" t="s">
        <v>175</v>
      </c>
      <c r="D52" s="102" t="s">
        <v>176</v>
      </c>
      <c r="E52" s="102" t="s">
        <v>177</v>
      </c>
      <c r="F52" s="103" t="s">
        <v>142</v>
      </c>
      <c r="G52" s="104">
        <v>0.355</v>
      </c>
      <c r="H52" s="105">
        <v>0.25</v>
      </c>
      <c r="I52" s="102">
        <v>78.6</v>
      </c>
      <c r="J52" s="102">
        <v>83.2</v>
      </c>
      <c r="K52" s="106">
        <v>77</v>
      </c>
      <c r="L52" s="102">
        <f>AVERAGE(285,375,394,370)</f>
        <v>356</v>
      </c>
      <c r="M52" s="106" t="s">
        <v>731</v>
      </c>
      <c r="N52" s="102">
        <f>AVERAGE(440,430,355,439,460)</f>
        <v>424.8</v>
      </c>
      <c r="O52" s="102" t="s">
        <v>376</v>
      </c>
      <c r="P52" s="133">
        <v>450</v>
      </c>
      <c r="Q52" s="134" t="s">
        <v>435</v>
      </c>
      <c r="R52" s="135" t="s">
        <v>35</v>
      </c>
      <c r="S52" s="133">
        <v>450</v>
      </c>
      <c r="T52" s="134" t="s">
        <v>601</v>
      </c>
      <c r="U52" s="135" t="s">
        <v>39</v>
      </c>
      <c r="V52" s="16"/>
      <c r="W52" s="16"/>
    </row>
    <row r="53" spans="1:23" ht="12" customHeight="1">
      <c r="A53" s="101" t="s">
        <v>173</v>
      </c>
      <c r="B53" s="62" t="s">
        <v>338</v>
      </c>
      <c r="C53" s="102" t="s">
        <v>339</v>
      </c>
      <c r="D53" s="108">
        <v>2.8</v>
      </c>
      <c r="E53" s="102" t="s">
        <v>340</v>
      </c>
      <c r="F53" s="103" t="s">
        <v>142</v>
      </c>
      <c r="G53" s="104">
        <v>0.27</v>
      </c>
      <c r="H53" s="105">
        <v>0.434</v>
      </c>
      <c r="I53" s="102">
        <v>82</v>
      </c>
      <c r="J53" s="102">
        <v>74</v>
      </c>
      <c r="K53" s="106">
        <v>67</v>
      </c>
      <c r="L53" s="102">
        <f>AVERAGE(350,310,,310,280,311,300,289,315)</f>
        <v>273.8888888888889</v>
      </c>
      <c r="M53" s="106" t="s">
        <v>731</v>
      </c>
      <c r="N53" s="102">
        <f>AVERAGE(328,305,374,379,366,355,341,320,345)</f>
        <v>345.8888888888889</v>
      </c>
      <c r="O53" s="102" t="s">
        <v>781</v>
      </c>
      <c r="P53" s="107">
        <v>390</v>
      </c>
      <c r="Q53" s="102" t="s">
        <v>667</v>
      </c>
      <c r="R53" s="106" t="s">
        <v>39</v>
      </c>
      <c r="S53" s="107">
        <v>430</v>
      </c>
      <c r="T53" s="102" t="s">
        <v>601</v>
      </c>
      <c r="U53" s="106" t="s">
        <v>39</v>
      </c>
      <c r="V53" s="16"/>
      <c r="W53" s="16"/>
    </row>
    <row r="54" spans="1:23" ht="12" customHeight="1">
      <c r="A54" s="101" t="s">
        <v>173</v>
      </c>
      <c r="B54" s="62" t="s">
        <v>728</v>
      </c>
      <c r="C54" s="102" t="s">
        <v>339</v>
      </c>
      <c r="D54" s="108">
        <v>2.8</v>
      </c>
      <c r="E54" s="102" t="s">
        <v>340</v>
      </c>
      <c r="F54" s="103" t="s">
        <v>142</v>
      </c>
      <c r="G54" s="104">
        <v>0.29</v>
      </c>
      <c r="H54" s="105">
        <v>0.57</v>
      </c>
      <c r="I54" s="102">
        <v>94.5</v>
      </c>
      <c r="J54" s="102">
        <v>79.6</v>
      </c>
      <c r="K54" s="106">
        <v>72</v>
      </c>
      <c r="L54" s="102">
        <f>AVERAGE(0)</f>
        <v>0</v>
      </c>
      <c r="M54" s="106" t="s">
        <v>731</v>
      </c>
      <c r="N54" s="102">
        <f>AVERAGE(480,505)</f>
        <v>492.5</v>
      </c>
      <c r="O54" s="102" t="s">
        <v>781</v>
      </c>
      <c r="P54" s="107" t="s">
        <v>20</v>
      </c>
      <c r="Q54" s="102" t="s">
        <v>20</v>
      </c>
      <c r="R54" s="106" t="s">
        <v>20</v>
      </c>
      <c r="S54" s="107" t="s">
        <v>20</v>
      </c>
      <c r="T54" s="102" t="s">
        <v>20</v>
      </c>
      <c r="U54" s="106" t="s">
        <v>20</v>
      </c>
      <c r="V54" s="16"/>
      <c r="W54" s="16"/>
    </row>
    <row r="55" spans="1:23" ht="12" customHeight="1">
      <c r="A55" s="101" t="s">
        <v>173</v>
      </c>
      <c r="B55" s="62" t="s">
        <v>514</v>
      </c>
      <c r="C55" s="120" t="s">
        <v>155</v>
      </c>
      <c r="D55" s="108" t="s">
        <v>178</v>
      </c>
      <c r="E55" s="120" t="s">
        <v>20</v>
      </c>
      <c r="F55" s="103" t="s">
        <v>46</v>
      </c>
      <c r="G55" s="104">
        <v>0.5</v>
      </c>
      <c r="H55" s="105">
        <v>0.53</v>
      </c>
      <c r="I55" s="102">
        <v>81</v>
      </c>
      <c r="J55" s="102">
        <v>82</v>
      </c>
      <c r="K55" s="106">
        <v>77</v>
      </c>
      <c r="L55" s="107">
        <f>AVERAGE(153,130,180,111,191,140,198,152)</f>
        <v>156.875</v>
      </c>
      <c r="M55" s="106" t="s">
        <v>523</v>
      </c>
      <c r="N55" s="102">
        <f>AVERAGE(175,250,213,244,250)</f>
        <v>226.4</v>
      </c>
      <c r="O55" s="102" t="s">
        <v>447</v>
      </c>
      <c r="P55" s="119">
        <v>250</v>
      </c>
      <c r="Q55" s="102" t="s">
        <v>781</v>
      </c>
      <c r="R55" s="118" t="s">
        <v>39</v>
      </c>
      <c r="S55" s="119">
        <v>275</v>
      </c>
      <c r="T55" s="102" t="s">
        <v>501</v>
      </c>
      <c r="U55" s="118" t="s">
        <v>41</v>
      </c>
      <c r="V55" s="16"/>
      <c r="W55" s="16"/>
    </row>
    <row r="56" spans="1:23" ht="12" customHeight="1">
      <c r="A56" s="101" t="s">
        <v>173</v>
      </c>
      <c r="B56" s="62" t="s">
        <v>515</v>
      </c>
      <c r="C56" s="120" t="s">
        <v>179</v>
      </c>
      <c r="D56" s="108">
        <v>2.8</v>
      </c>
      <c r="E56" s="120" t="s">
        <v>20</v>
      </c>
      <c r="F56" s="103" t="s">
        <v>46</v>
      </c>
      <c r="G56" s="104">
        <v>0.33</v>
      </c>
      <c r="H56" s="105">
        <v>0.51</v>
      </c>
      <c r="I56" s="102">
        <v>92</v>
      </c>
      <c r="J56" s="102">
        <v>73</v>
      </c>
      <c r="K56" s="106">
        <v>67</v>
      </c>
      <c r="L56" s="107">
        <f>AVERAGE(231,285,300,255,270,208,250,250,267,256)</f>
        <v>257.2</v>
      </c>
      <c r="M56" s="106" t="s">
        <v>781</v>
      </c>
      <c r="N56" s="102">
        <f>AVERAGE(357,350,350,305,335,337,309,280)</f>
        <v>327.875</v>
      </c>
      <c r="O56" s="102" t="s">
        <v>781</v>
      </c>
      <c r="P56" s="107">
        <v>365</v>
      </c>
      <c r="Q56" s="102" t="s">
        <v>781</v>
      </c>
      <c r="R56" s="106" t="s">
        <v>35</v>
      </c>
      <c r="S56" s="107">
        <v>400</v>
      </c>
      <c r="T56" s="102" t="s">
        <v>731</v>
      </c>
      <c r="U56" s="106" t="s">
        <v>35</v>
      </c>
      <c r="V56" s="16"/>
      <c r="W56" s="16"/>
    </row>
    <row r="57" spans="1:23" ht="12" customHeight="1">
      <c r="A57" s="101" t="s">
        <v>173</v>
      </c>
      <c r="B57" s="62" t="s">
        <v>342</v>
      </c>
      <c r="C57" s="120" t="s">
        <v>180</v>
      </c>
      <c r="D57" s="108">
        <v>2.8</v>
      </c>
      <c r="E57" s="120" t="s">
        <v>20</v>
      </c>
      <c r="F57" s="129" t="s">
        <v>46</v>
      </c>
      <c r="G57" s="52" t="s">
        <v>20</v>
      </c>
      <c r="H57" s="80" t="s">
        <v>20</v>
      </c>
      <c r="I57" s="15" t="s">
        <v>20</v>
      </c>
      <c r="J57" s="15" t="s">
        <v>20</v>
      </c>
      <c r="K57" s="15">
        <v>82</v>
      </c>
      <c r="L57" s="107">
        <f>AVERAGE(282,261,201,250,270,254,250,339,305,290)</f>
        <v>270.2</v>
      </c>
      <c r="M57" s="106" t="s">
        <v>731</v>
      </c>
      <c r="N57" s="109">
        <f>AVERAGE(308,300,335,421,400,355,395,427)</f>
        <v>367.625</v>
      </c>
      <c r="O57" s="102" t="s">
        <v>667</v>
      </c>
      <c r="P57" s="107">
        <v>365</v>
      </c>
      <c r="Q57" s="102" t="s">
        <v>781</v>
      </c>
      <c r="R57" s="106" t="s">
        <v>35</v>
      </c>
      <c r="S57" s="107">
        <v>525</v>
      </c>
      <c r="T57" s="102" t="s">
        <v>781</v>
      </c>
      <c r="U57" s="106" t="s">
        <v>35</v>
      </c>
      <c r="V57" s="16"/>
      <c r="W57" s="16"/>
    </row>
    <row r="58" spans="1:23" ht="12" customHeight="1">
      <c r="A58" s="101" t="s">
        <v>173</v>
      </c>
      <c r="B58" s="62" t="s">
        <v>457</v>
      </c>
      <c r="C58" s="120" t="s">
        <v>114</v>
      </c>
      <c r="D58" s="108">
        <v>2.8</v>
      </c>
      <c r="E58" s="120" t="s">
        <v>20</v>
      </c>
      <c r="F58" s="103" t="s">
        <v>142</v>
      </c>
      <c r="G58" s="104">
        <v>0.95</v>
      </c>
      <c r="H58" s="105">
        <v>1.15</v>
      </c>
      <c r="I58" s="102">
        <v>194</v>
      </c>
      <c r="J58" s="102">
        <v>90</v>
      </c>
      <c r="K58" s="106">
        <v>77</v>
      </c>
      <c r="L58" s="102">
        <f>AVERAGE(569,519,500)</f>
        <v>529.3333333333334</v>
      </c>
      <c r="M58" s="106" t="s">
        <v>781</v>
      </c>
      <c r="N58" s="102">
        <f>AVERAGE(619,660,630,610,629,620,700,610,700,726)</f>
        <v>650.4</v>
      </c>
      <c r="O58" s="102" t="s">
        <v>731</v>
      </c>
      <c r="P58" s="107">
        <v>600</v>
      </c>
      <c r="Q58" s="102" t="s">
        <v>601</v>
      </c>
      <c r="R58" s="106" t="s">
        <v>35</v>
      </c>
      <c r="S58" s="110">
        <v>800</v>
      </c>
      <c r="T58" s="102" t="s">
        <v>466</v>
      </c>
      <c r="U58" s="106" t="s">
        <v>35</v>
      </c>
      <c r="V58" s="16"/>
      <c r="W58" s="16"/>
    </row>
    <row r="59" spans="1:23" ht="12" customHeight="1">
      <c r="A59" s="101" t="s">
        <v>173</v>
      </c>
      <c r="B59" s="62" t="s">
        <v>315</v>
      </c>
      <c r="C59" s="120" t="s">
        <v>119</v>
      </c>
      <c r="D59" s="108">
        <v>2.8</v>
      </c>
      <c r="E59" s="120" t="s">
        <v>20</v>
      </c>
      <c r="F59" s="103" t="s">
        <v>174</v>
      </c>
      <c r="G59" s="104">
        <v>1.5</v>
      </c>
      <c r="H59" s="105">
        <v>1.22</v>
      </c>
      <c r="I59" s="102">
        <v>178</v>
      </c>
      <c r="J59" s="102">
        <v>82</v>
      </c>
      <c r="K59" s="106">
        <v>77</v>
      </c>
      <c r="L59" s="107">
        <f>AVERAGE(275,280,295,303,295,230,333,388,257,210,285)</f>
        <v>286.45454545454544</v>
      </c>
      <c r="M59" s="106" t="s">
        <v>781</v>
      </c>
      <c r="N59" s="102">
        <f>AVERAGE(385,331,350,300,300)</f>
        <v>333.2</v>
      </c>
      <c r="O59" s="102" t="s">
        <v>453</v>
      </c>
      <c r="P59" s="119">
        <v>450</v>
      </c>
      <c r="Q59" s="102" t="s">
        <v>552</v>
      </c>
      <c r="R59" s="118" t="s">
        <v>35</v>
      </c>
      <c r="S59" s="119">
        <v>415</v>
      </c>
      <c r="T59" s="102" t="s">
        <v>329</v>
      </c>
      <c r="U59" s="118" t="s">
        <v>35</v>
      </c>
      <c r="V59" s="16"/>
      <c r="W59" s="16"/>
    </row>
    <row r="60" spans="1:23" ht="12" customHeight="1">
      <c r="A60" s="101" t="s">
        <v>173</v>
      </c>
      <c r="B60" s="62" t="s">
        <v>316</v>
      </c>
      <c r="C60" s="120" t="s">
        <v>183</v>
      </c>
      <c r="D60" s="108">
        <v>5.6</v>
      </c>
      <c r="E60" s="120" t="s">
        <v>20</v>
      </c>
      <c r="F60" s="103" t="s">
        <v>46</v>
      </c>
      <c r="G60" s="104" t="s">
        <v>20</v>
      </c>
      <c r="H60" s="105" t="s">
        <v>20</v>
      </c>
      <c r="I60" s="102" t="s">
        <v>20</v>
      </c>
      <c r="J60" s="102" t="s">
        <v>20</v>
      </c>
      <c r="K60" s="106" t="s">
        <v>20</v>
      </c>
      <c r="L60" s="107">
        <f>AVERAGE(213,199,190,225,255,190,226,237,18)</f>
        <v>194.77777777777777</v>
      </c>
      <c r="M60" s="118" t="s">
        <v>731</v>
      </c>
      <c r="N60" s="102">
        <f>AVERAGE(249,265,330,287,278,306,300,208,350)</f>
        <v>285.8888888888889</v>
      </c>
      <c r="O60" s="120" t="s">
        <v>781</v>
      </c>
      <c r="P60" s="107">
        <v>235</v>
      </c>
      <c r="Q60" s="120" t="s">
        <v>667</v>
      </c>
      <c r="R60" s="106" t="s">
        <v>35</v>
      </c>
      <c r="S60" s="107">
        <v>350</v>
      </c>
      <c r="T60" s="120" t="s">
        <v>601</v>
      </c>
      <c r="U60" s="106" t="s">
        <v>41</v>
      </c>
      <c r="V60" s="16"/>
      <c r="W60" s="16"/>
    </row>
    <row r="61" spans="1:23" ht="12" customHeight="1">
      <c r="A61" s="111" t="s">
        <v>173</v>
      </c>
      <c r="B61" s="64" t="s">
        <v>317</v>
      </c>
      <c r="C61" s="112" t="s">
        <v>184</v>
      </c>
      <c r="D61" s="112" t="s">
        <v>169</v>
      </c>
      <c r="E61" s="112" t="s">
        <v>20</v>
      </c>
      <c r="F61" s="114" t="s">
        <v>46</v>
      </c>
      <c r="G61" s="115">
        <v>2.5</v>
      </c>
      <c r="H61" s="116">
        <v>1.237</v>
      </c>
      <c r="I61" s="112">
        <v>227</v>
      </c>
      <c r="J61" s="112">
        <v>93.5</v>
      </c>
      <c r="K61" s="117">
        <v>86</v>
      </c>
      <c r="L61" s="112">
        <f>AVERAGE(330)</f>
        <v>330</v>
      </c>
      <c r="M61" s="117" t="s">
        <v>731</v>
      </c>
      <c r="N61" s="112">
        <f>AVERAGE(700,601,761,525,580,600,550,630,602,645)</f>
        <v>619.4</v>
      </c>
      <c r="O61" s="112" t="s">
        <v>781</v>
      </c>
      <c r="P61" s="121">
        <v>546</v>
      </c>
      <c r="Q61" s="112" t="s">
        <v>781</v>
      </c>
      <c r="R61" s="117" t="s">
        <v>35</v>
      </c>
      <c r="S61" s="121">
        <v>751</v>
      </c>
      <c r="T61" s="112" t="s">
        <v>781</v>
      </c>
      <c r="U61" s="117" t="s">
        <v>35</v>
      </c>
      <c r="V61" s="16"/>
      <c r="W61" s="16"/>
    </row>
    <row r="62" spans="12:21" ht="12" customHeight="1">
      <c r="L62" s="15" t="s">
        <v>20</v>
      </c>
      <c r="M62" s="15" t="s">
        <v>20</v>
      </c>
      <c r="N62" s="15" t="s">
        <v>20</v>
      </c>
      <c r="O62" s="15" t="s">
        <v>20</v>
      </c>
      <c r="P62" s="15" t="s">
        <v>20</v>
      </c>
      <c r="Q62" s="15" t="s">
        <v>20</v>
      </c>
      <c r="R62" s="15" t="s">
        <v>20</v>
      </c>
      <c r="S62" s="15" t="s">
        <v>20</v>
      </c>
      <c r="T62" s="15" t="s">
        <v>20</v>
      </c>
      <c r="U62" s="15" t="s">
        <v>20</v>
      </c>
    </row>
    <row r="63" spans="1:21" ht="12" customHeight="1">
      <c r="A63" s="81" t="s">
        <v>663</v>
      </c>
      <c r="L63" s="15" t="s">
        <v>20</v>
      </c>
      <c r="M63" s="15" t="s">
        <v>20</v>
      </c>
      <c r="N63" s="15" t="s">
        <v>20</v>
      </c>
      <c r="O63" s="15" t="s">
        <v>20</v>
      </c>
      <c r="P63" s="15" t="s">
        <v>20</v>
      </c>
      <c r="Q63" s="15" t="s">
        <v>20</v>
      </c>
      <c r="R63" s="15" t="s">
        <v>20</v>
      </c>
      <c r="S63" s="15" t="s">
        <v>20</v>
      </c>
      <c r="T63" s="15" t="s">
        <v>20</v>
      </c>
      <c r="U63" s="15" t="s">
        <v>20</v>
      </c>
    </row>
    <row r="64" spans="12:21" ht="12" customHeight="1">
      <c r="L64" s="15" t="s">
        <v>20</v>
      </c>
      <c r="M64" s="15" t="s">
        <v>20</v>
      </c>
      <c r="N64" s="15" t="s">
        <v>20</v>
      </c>
      <c r="O64" s="15" t="s">
        <v>20</v>
      </c>
      <c r="P64" s="15" t="s">
        <v>20</v>
      </c>
      <c r="Q64" s="15" t="s">
        <v>20</v>
      </c>
      <c r="R64" s="15" t="s">
        <v>20</v>
      </c>
      <c r="S64" s="15" t="s">
        <v>20</v>
      </c>
      <c r="T64" s="15" t="s">
        <v>20</v>
      </c>
      <c r="U64" s="15" t="s">
        <v>20</v>
      </c>
    </row>
    <row r="65" spans="1:21" s="41" customFormat="1" ht="12" customHeight="1">
      <c r="A65" s="143" t="s">
        <v>628</v>
      </c>
      <c r="B65" s="74"/>
      <c r="C65" s="30"/>
      <c r="D65" s="75" t="s">
        <v>20</v>
      </c>
      <c r="E65" s="30" t="s">
        <v>20</v>
      </c>
      <c r="F65" s="78" t="s">
        <v>20</v>
      </c>
      <c r="G65" s="76" t="s">
        <v>20</v>
      </c>
      <c r="H65" s="77" t="s">
        <v>20</v>
      </c>
      <c r="I65" s="30" t="s">
        <v>20</v>
      </c>
      <c r="J65" s="30" t="s">
        <v>20</v>
      </c>
      <c r="K65" s="30" t="s">
        <v>20</v>
      </c>
      <c r="L65" s="30" t="s">
        <v>20</v>
      </c>
      <c r="M65" s="30" t="s">
        <v>20</v>
      </c>
      <c r="N65" s="30" t="s">
        <v>20</v>
      </c>
      <c r="O65" s="30" t="s">
        <v>20</v>
      </c>
      <c r="P65" s="30" t="s">
        <v>20</v>
      </c>
      <c r="Q65" s="30" t="s">
        <v>20</v>
      </c>
      <c r="R65" s="30" t="s">
        <v>20</v>
      </c>
      <c r="S65" s="30" t="s">
        <v>20</v>
      </c>
      <c r="T65" s="30" t="s">
        <v>20</v>
      </c>
      <c r="U65" s="30" t="s">
        <v>20</v>
      </c>
    </row>
    <row r="66" spans="1:23" ht="12" customHeight="1">
      <c r="A66" s="101" t="s">
        <v>185</v>
      </c>
      <c r="B66" s="62" t="s">
        <v>318</v>
      </c>
      <c r="C66" s="120">
        <v>17</v>
      </c>
      <c r="D66" s="108">
        <v>3.5</v>
      </c>
      <c r="E66" s="120">
        <f aca="true" t="shared" si="2" ref="E66:E71">1.6*C66</f>
        <v>27.200000000000003</v>
      </c>
      <c r="F66" s="103" t="s">
        <v>46</v>
      </c>
      <c r="G66" s="104">
        <v>0.25</v>
      </c>
      <c r="H66" s="105">
        <v>0.44</v>
      </c>
      <c r="I66" s="102">
        <v>65</v>
      </c>
      <c r="J66" s="102">
        <v>88</v>
      </c>
      <c r="K66" s="106">
        <v>77</v>
      </c>
      <c r="L66" s="102">
        <f>AVERAGE(223,203,223)</f>
        <v>216.33333333333334</v>
      </c>
      <c r="M66" s="106" t="s">
        <v>781</v>
      </c>
      <c r="N66" s="102">
        <f>AVERAGE(320,277,340,305)</f>
        <v>310.5</v>
      </c>
      <c r="O66" s="102" t="s">
        <v>767</v>
      </c>
      <c r="P66" s="107">
        <v>300</v>
      </c>
      <c r="Q66" s="102" t="s">
        <v>661</v>
      </c>
      <c r="R66" s="106" t="s">
        <v>35</v>
      </c>
      <c r="S66" s="107">
        <v>380</v>
      </c>
      <c r="T66" s="102" t="s">
        <v>466</v>
      </c>
      <c r="U66" s="106" t="s">
        <v>35</v>
      </c>
      <c r="V66" s="16"/>
      <c r="W66" s="16"/>
    </row>
    <row r="67" spans="1:23" ht="12" customHeight="1">
      <c r="A67" s="101" t="s">
        <v>185</v>
      </c>
      <c r="B67" s="62" t="s">
        <v>455</v>
      </c>
      <c r="C67" s="120">
        <v>17</v>
      </c>
      <c r="D67" s="108">
        <v>3.5</v>
      </c>
      <c r="E67" s="120">
        <f t="shared" si="2"/>
        <v>27.200000000000003</v>
      </c>
      <c r="F67" s="103" t="s">
        <v>36</v>
      </c>
      <c r="G67" s="104">
        <v>0.25</v>
      </c>
      <c r="H67" s="105">
        <v>0.29</v>
      </c>
      <c r="I67" s="102">
        <v>52</v>
      </c>
      <c r="J67" s="102">
        <v>70</v>
      </c>
      <c r="K67" s="106">
        <v>67</v>
      </c>
      <c r="L67" s="107">
        <f>AVERAGE(100,168)</f>
        <v>134</v>
      </c>
      <c r="M67" s="106" t="s">
        <v>494</v>
      </c>
      <c r="N67" s="102">
        <f>AVERAGE(222,220)</f>
        <v>221</v>
      </c>
      <c r="O67" s="102" t="s">
        <v>536</v>
      </c>
      <c r="P67" s="107">
        <v>150</v>
      </c>
      <c r="Q67" s="102" t="s">
        <v>523</v>
      </c>
      <c r="R67" s="106" t="s">
        <v>38</v>
      </c>
      <c r="S67" s="107" t="s">
        <v>20</v>
      </c>
      <c r="T67" s="102" t="s">
        <v>20</v>
      </c>
      <c r="U67" s="106" t="s">
        <v>20</v>
      </c>
      <c r="V67" s="16"/>
      <c r="W67" s="16"/>
    </row>
    <row r="68" spans="1:23" ht="12" customHeight="1">
      <c r="A68" s="101" t="s">
        <v>185</v>
      </c>
      <c r="B68" s="62" t="s">
        <v>646</v>
      </c>
      <c r="C68" s="120">
        <v>90</v>
      </c>
      <c r="D68" s="108">
        <v>2.5</v>
      </c>
      <c r="E68" s="120">
        <f t="shared" si="2"/>
        <v>144</v>
      </c>
      <c r="F68" s="103" t="s">
        <v>191</v>
      </c>
      <c r="G68" s="104">
        <v>0.4</v>
      </c>
      <c r="H68" s="105">
        <v>0.53</v>
      </c>
      <c r="I68" s="102">
        <v>64</v>
      </c>
      <c r="J68" s="102">
        <v>80</v>
      </c>
      <c r="K68" s="106">
        <v>55</v>
      </c>
      <c r="L68" s="107" t="s">
        <v>20</v>
      </c>
      <c r="M68" s="106" t="s">
        <v>20</v>
      </c>
      <c r="N68" s="102">
        <f>AVERAGE(499)</f>
        <v>499</v>
      </c>
      <c r="O68" s="102" t="s">
        <v>704</v>
      </c>
      <c r="P68" s="107" t="s">
        <v>644</v>
      </c>
      <c r="Q68" s="102" t="s">
        <v>645</v>
      </c>
      <c r="R68" s="106" t="s">
        <v>35</v>
      </c>
      <c r="S68" s="107" t="s">
        <v>20</v>
      </c>
      <c r="T68" s="102" t="s">
        <v>20</v>
      </c>
      <c r="U68" s="106" t="s">
        <v>20</v>
      </c>
      <c r="V68" s="16"/>
      <c r="W68" s="16"/>
    </row>
    <row r="69" spans="1:23" s="41" customFormat="1" ht="12" customHeight="1">
      <c r="A69" s="101" t="s">
        <v>185</v>
      </c>
      <c r="B69" s="62" t="s">
        <v>615</v>
      </c>
      <c r="C69" s="102">
        <v>100</v>
      </c>
      <c r="D69" s="108">
        <v>2.8</v>
      </c>
      <c r="E69" s="102">
        <f t="shared" si="2"/>
        <v>160</v>
      </c>
      <c r="F69" s="103" t="s">
        <v>46</v>
      </c>
      <c r="G69" s="104">
        <v>0.3</v>
      </c>
      <c r="H69" s="105">
        <v>0.54</v>
      </c>
      <c r="I69" s="102">
        <v>95</v>
      </c>
      <c r="J69" s="102">
        <v>73</v>
      </c>
      <c r="K69" s="106">
        <v>55</v>
      </c>
      <c r="L69" s="102">
        <f>AVERAGE(153)</f>
        <v>153</v>
      </c>
      <c r="M69" s="106" t="s">
        <v>523</v>
      </c>
      <c r="N69" s="102">
        <f>AVERAGE(0)</f>
        <v>0</v>
      </c>
      <c r="O69" s="102" t="s">
        <v>20</v>
      </c>
      <c r="P69" s="123" t="s">
        <v>729</v>
      </c>
      <c r="Q69" s="102" t="s">
        <v>731</v>
      </c>
      <c r="R69" s="126" t="s">
        <v>35</v>
      </c>
      <c r="S69" s="123" t="s">
        <v>616</v>
      </c>
      <c r="T69" s="102" t="s">
        <v>376</v>
      </c>
      <c r="U69" s="126" t="s">
        <v>38</v>
      </c>
      <c r="V69" s="16"/>
      <c r="W69" s="16"/>
    </row>
    <row r="70" spans="1:23" s="41" customFormat="1" ht="12" customHeight="1">
      <c r="A70" s="101" t="s">
        <v>185</v>
      </c>
      <c r="B70" s="62" t="s">
        <v>319</v>
      </c>
      <c r="C70" s="102">
        <v>300</v>
      </c>
      <c r="D70" s="108">
        <v>2.8</v>
      </c>
      <c r="E70" s="102">
        <f t="shared" si="2"/>
        <v>480</v>
      </c>
      <c r="F70" s="103" t="s">
        <v>46</v>
      </c>
      <c r="G70" s="104">
        <v>2.4</v>
      </c>
      <c r="H70" s="105">
        <v>2.3</v>
      </c>
      <c r="I70" s="102">
        <v>187</v>
      </c>
      <c r="J70" s="102">
        <v>117</v>
      </c>
      <c r="K70" s="106">
        <v>112</v>
      </c>
      <c r="L70" s="102">
        <f>AVERAGE(0)</f>
        <v>0</v>
      </c>
      <c r="M70" s="106" t="s">
        <v>20</v>
      </c>
      <c r="N70" s="102">
        <f>AVERAGE(910)</f>
        <v>910</v>
      </c>
      <c r="O70" s="102" t="s">
        <v>781</v>
      </c>
      <c r="P70" s="123" t="s">
        <v>374</v>
      </c>
      <c r="Q70" s="102" t="s">
        <v>375</v>
      </c>
      <c r="R70" s="126" t="s">
        <v>35</v>
      </c>
      <c r="S70" s="136" t="s">
        <v>373</v>
      </c>
      <c r="T70" s="102" t="s">
        <v>375</v>
      </c>
      <c r="U70" s="126" t="s">
        <v>38</v>
      </c>
      <c r="V70" s="16"/>
      <c r="W70" s="16"/>
    </row>
    <row r="71" spans="1:23" s="41" customFormat="1" ht="12" customHeight="1">
      <c r="A71" s="101" t="s">
        <v>185</v>
      </c>
      <c r="B71" s="62" t="s">
        <v>320</v>
      </c>
      <c r="C71" s="102">
        <v>300</v>
      </c>
      <c r="D71" s="108">
        <v>2.8</v>
      </c>
      <c r="E71" s="102">
        <f t="shared" si="2"/>
        <v>480</v>
      </c>
      <c r="F71" s="103" t="s">
        <v>36</v>
      </c>
      <c r="G71" s="104" t="s">
        <v>20</v>
      </c>
      <c r="H71" s="105" t="s">
        <v>20</v>
      </c>
      <c r="I71" s="102" t="s">
        <v>20</v>
      </c>
      <c r="J71" s="102" t="s">
        <v>20</v>
      </c>
      <c r="K71" s="106" t="s">
        <v>20</v>
      </c>
      <c r="L71" s="102">
        <f>AVERAGE(0)</f>
        <v>0</v>
      </c>
      <c r="M71" s="106" t="s">
        <v>20</v>
      </c>
      <c r="N71" s="102">
        <f>AVERAGE(631)</f>
        <v>631</v>
      </c>
      <c r="O71" s="102" t="s">
        <v>362</v>
      </c>
      <c r="P71" s="123" t="s">
        <v>446</v>
      </c>
      <c r="Q71" s="102" t="s">
        <v>447</v>
      </c>
      <c r="R71" s="126" t="s">
        <v>37</v>
      </c>
      <c r="S71" s="136" t="s">
        <v>20</v>
      </c>
      <c r="T71" s="102" t="s">
        <v>20</v>
      </c>
      <c r="U71" s="126" t="s">
        <v>20</v>
      </c>
      <c r="V71" s="16"/>
      <c r="W71" s="16"/>
    </row>
    <row r="72" spans="1:23" ht="12" customHeight="1">
      <c r="A72" s="111" t="s">
        <v>185</v>
      </c>
      <c r="B72" s="64" t="s">
        <v>318</v>
      </c>
      <c r="C72" s="112">
        <v>300</v>
      </c>
      <c r="D72" s="113">
        <v>4</v>
      </c>
      <c r="E72" s="112">
        <f>1.6*C72</f>
        <v>480</v>
      </c>
      <c r="F72" s="114" t="s">
        <v>46</v>
      </c>
      <c r="G72" s="115" t="s">
        <v>20</v>
      </c>
      <c r="H72" s="116" t="s">
        <v>20</v>
      </c>
      <c r="I72" s="112" t="s">
        <v>20</v>
      </c>
      <c r="J72" s="112" t="s">
        <v>20</v>
      </c>
      <c r="K72" s="117" t="s">
        <v>20</v>
      </c>
      <c r="L72" s="112">
        <f>AVERAGE(364)</f>
        <v>364</v>
      </c>
      <c r="M72" s="117" t="s">
        <v>452</v>
      </c>
      <c r="N72" s="112">
        <f>AVERAGE(401)</f>
        <v>401</v>
      </c>
      <c r="O72" s="112" t="s">
        <v>767</v>
      </c>
      <c r="P72" s="107">
        <v>325</v>
      </c>
      <c r="Q72" s="102" t="s">
        <v>329</v>
      </c>
      <c r="R72" s="106" t="s">
        <v>35</v>
      </c>
      <c r="S72" s="107"/>
      <c r="T72" s="102"/>
      <c r="U72" s="106"/>
      <c r="V72" s="16"/>
      <c r="W72" s="16"/>
    </row>
    <row r="73" spans="1:23" ht="12" customHeight="1">
      <c r="A73" s="101" t="s">
        <v>185</v>
      </c>
      <c r="B73" s="62" t="s">
        <v>458</v>
      </c>
      <c r="C73" s="122" t="s">
        <v>427</v>
      </c>
      <c r="D73" s="102" t="s">
        <v>131</v>
      </c>
      <c r="E73" s="102" t="s">
        <v>428</v>
      </c>
      <c r="F73" s="103" t="s">
        <v>142</v>
      </c>
      <c r="G73" s="104">
        <v>0.14</v>
      </c>
      <c r="H73" s="105">
        <v>0.35</v>
      </c>
      <c r="I73" s="102">
        <v>71.5</v>
      </c>
      <c r="J73" s="102">
        <v>68</v>
      </c>
      <c r="K73" s="106" t="s">
        <v>36</v>
      </c>
      <c r="L73" s="102">
        <f>AVERAGE(0)</f>
        <v>0</v>
      </c>
      <c r="M73" s="106" t="s">
        <v>20</v>
      </c>
      <c r="N73" s="102">
        <f>AVERAGE(509,445,431,483,463,449)</f>
        <v>463.3333333333333</v>
      </c>
      <c r="O73" s="102" t="s">
        <v>704</v>
      </c>
      <c r="P73" s="133">
        <v>500</v>
      </c>
      <c r="Q73" s="134" t="s">
        <v>523</v>
      </c>
      <c r="R73" s="135" t="s">
        <v>39</v>
      </c>
      <c r="S73" s="133">
        <v>550</v>
      </c>
      <c r="T73" s="134" t="s">
        <v>731</v>
      </c>
      <c r="U73" s="135" t="s">
        <v>39</v>
      </c>
      <c r="V73" s="16"/>
      <c r="W73" s="16"/>
    </row>
    <row r="74" spans="1:23" ht="12" customHeight="1">
      <c r="A74" s="101" t="s">
        <v>185</v>
      </c>
      <c r="B74" s="62" t="s">
        <v>527</v>
      </c>
      <c r="C74" s="122" t="s">
        <v>528</v>
      </c>
      <c r="D74" s="108">
        <v>2.8</v>
      </c>
      <c r="E74" s="102" t="s">
        <v>529</v>
      </c>
      <c r="F74" s="103" t="s">
        <v>142</v>
      </c>
      <c r="G74" s="104">
        <v>0.3</v>
      </c>
      <c r="H74" s="105">
        <v>0.56</v>
      </c>
      <c r="I74" s="102">
        <v>89</v>
      </c>
      <c r="J74" s="102" t="s">
        <v>20</v>
      </c>
      <c r="K74" s="106">
        <v>77</v>
      </c>
      <c r="L74" s="102">
        <f>AVERAGE(0)</f>
        <v>0</v>
      </c>
      <c r="M74" s="106" t="s">
        <v>20</v>
      </c>
      <c r="N74" s="102">
        <f>AVERAGE(590,650,610,595,590,450,577,575,575)</f>
        <v>579.1111111111111</v>
      </c>
      <c r="O74" s="102" t="s">
        <v>731</v>
      </c>
      <c r="P74" s="107" t="s">
        <v>20</v>
      </c>
      <c r="Q74" s="102" t="s">
        <v>20</v>
      </c>
      <c r="R74" s="106" t="s">
        <v>20</v>
      </c>
      <c r="S74" s="107" t="s">
        <v>20</v>
      </c>
      <c r="T74" s="102" t="s">
        <v>20</v>
      </c>
      <c r="U74" s="106" t="s">
        <v>20</v>
      </c>
      <c r="V74" s="16"/>
      <c r="W74" s="16"/>
    </row>
    <row r="75" spans="1:23" ht="12" customHeight="1">
      <c r="A75" s="101" t="s">
        <v>185</v>
      </c>
      <c r="B75" s="62" t="s">
        <v>321</v>
      </c>
      <c r="C75" s="122" t="s">
        <v>153</v>
      </c>
      <c r="D75" s="102">
        <v>4</v>
      </c>
      <c r="E75" s="102" t="s">
        <v>154</v>
      </c>
      <c r="F75" s="103" t="s">
        <v>142</v>
      </c>
      <c r="G75" s="104">
        <v>0.57</v>
      </c>
      <c r="H75" s="105">
        <v>0.3</v>
      </c>
      <c r="I75" s="102">
        <v>89.5</v>
      </c>
      <c r="J75" s="102">
        <v>84</v>
      </c>
      <c r="K75" s="106">
        <v>77</v>
      </c>
      <c r="L75" s="102">
        <f>AVERAGE(378,360,315,375,383,316,365,345,391)</f>
        <v>358.6666666666667</v>
      </c>
      <c r="M75" s="106" t="s">
        <v>781</v>
      </c>
      <c r="N75" s="102">
        <f>AVERAGE(391,499,405,395,450,435,399,400,401)</f>
        <v>419.44444444444446</v>
      </c>
      <c r="O75" s="102" t="s">
        <v>731</v>
      </c>
      <c r="P75" s="123" t="s">
        <v>424</v>
      </c>
      <c r="Q75" s="102" t="s">
        <v>435</v>
      </c>
      <c r="R75" s="126" t="s">
        <v>39</v>
      </c>
      <c r="S75" s="123" t="s">
        <v>524</v>
      </c>
      <c r="T75" s="102" t="s">
        <v>523</v>
      </c>
      <c r="U75" s="126" t="s">
        <v>39</v>
      </c>
      <c r="V75" s="16"/>
      <c r="W75" s="16"/>
    </row>
    <row r="76" spans="1:23" s="41" customFormat="1" ht="12" customHeight="1">
      <c r="A76" s="125" t="s">
        <v>185</v>
      </c>
      <c r="B76" s="128" t="s">
        <v>322</v>
      </c>
      <c r="C76" s="102" t="s">
        <v>99</v>
      </c>
      <c r="D76" s="108">
        <v>2.8</v>
      </c>
      <c r="E76" s="102" t="s">
        <v>100</v>
      </c>
      <c r="F76" s="103" t="s">
        <v>46</v>
      </c>
      <c r="G76" s="104">
        <v>0.52</v>
      </c>
      <c r="H76" s="105">
        <v>0.59</v>
      </c>
      <c r="I76" s="102">
        <v>86</v>
      </c>
      <c r="J76" s="102">
        <v>84</v>
      </c>
      <c r="K76" s="106">
        <v>77</v>
      </c>
      <c r="L76" s="107">
        <f>AVERAGE(158,189)</f>
        <v>173.5</v>
      </c>
      <c r="M76" s="106" t="s">
        <v>462</v>
      </c>
      <c r="N76" s="102">
        <f>AVERAGE(495,215,230,250,189,312,400,321,313,331,310)</f>
        <v>306</v>
      </c>
      <c r="O76" s="102" t="s">
        <v>667</v>
      </c>
      <c r="P76" s="107">
        <v>325</v>
      </c>
      <c r="Q76" s="102" t="s">
        <v>731</v>
      </c>
      <c r="R76" s="106" t="s">
        <v>37</v>
      </c>
      <c r="S76" s="107" t="s">
        <v>20</v>
      </c>
      <c r="T76" s="102" t="s">
        <v>20</v>
      </c>
      <c r="U76" s="106" t="s">
        <v>20</v>
      </c>
      <c r="V76" s="16"/>
      <c r="W76" s="16"/>
    </row>
    <row r="77" spans="1:23" ht="12" customHeight="1">
      <c r="A77" s="101" t="s">
        <v>185</v>
      </c>
      <c r="B77" s="62" t="s">
        <v>469</v>
      </c>
      <c r="C77" s="120" t="s">
        <v>187</v>
      </c>
      <c r="D77" s="108">
        <v>2.8</v>
      </c>
      <c r="E77" s="120" t="s">
        <v>20</v>
      </c>
      <c r="F77" s="103" t="s">
        <v>36</v>
      </c>
      <c r="G77" s="104">
        <v>0.4</v>
      </c>
      <c r="H77" s="105">
        <v>0.505</v>
      </c>
      <c r="I77" s="102">
        <v>79</v>
      </c>
      <c r="J77" s="102">
        <v>75</v>
      </c>
      <c r="K77" s="120">
        <v>72</v>
      </c>
      <c r="L77" s="107">
        <f>AVERAGE(101,120)</f>
        <v>110.5</v>
      </c>
      <c r="M77" s="127" t="s">
        <v>516</v>
      </c>
      <c r="N77" s="102">
        <f>AVERAGE(250)</f>
        <v>250</v>
      </c>
      <c r="O77" s="105" t="s">
        <v>470</v>
      </c>
      <c r="P77" s="107">
        <v>133</v>
      </c>
      <c r="Q77" s="105" t="s">
        <v>375</v>
      </c>
      <c r="R77" s="127" t="s">
        <v>35</v>
      </c>
      <c r="S77" s="110" t="s">
        <v>20</v>
      </c>
      <c r="T77" s="105" t="s">
        <v>20</v>
      </c>
      <c r="U77" s="127" t="s">
        <v>20</v>
      </c>
      <c r="V77" s="16"/>
      <c r="W77" s="16"/>
    </row>
    <row r="78" spans="1:23" ht="12" customHeight="1">
      <c r="A78" s="101" t="s">
        <v>185</v>
      </c>
      <c r="B78" s="62" t="s">
        <v>323</v>
      </c>
      <c r="C78" s="120" t="s">
        <v>107</v>
      </c>
      <c r="D78" s="108">
        <v>2.8</v>
      </c>
      <c r="E78" s="120" t="s">
        <v>20</v>
      </c>
      <c r="F78" s="103" t="s">
        <v>20</v>
      </c>
      <c r="G78" s="104">
        <v>0.7</v>
      </c>
      <c r="H78" s="105">
        <v>0.72</v>
      </c>
      <c r="I78" s="102">
        <v>108</v>
      </c>
      <c r="J78" s="102">
        <v>84</v>
      </c>
      <c r="K78" s="106">
        <v>77</v>
      </c>
      <c r="L78" s="107">
        <f>AVERAGE(142,203,198,173,151)</f>
        <v>173.4</v>
      </c>
      <c r="M78" s="127" t="s">
        <v>541</v>
      </c>
      <c r="N78" s="102">
        <f>AVERAGE(278,259,209,229,289,209,195,208,225)</f>
        <v>233.44444444444446</v>
      </c>
      <c r="O78" s="105" t="s">
        <v>781</v>
      </c>
      <c r="P78" s="107">
        <v>200</v>
      </c>
      <c r="Q78" s="105" t="s">
        <v>523</v>
      </c>
      <c r="R78" s="127" t="s">
        <v>38</v>
      </c>
      <c r="S78" s="107">
        <v>350</v>
      </c>
      <c r="T78" s="105" t="s">
        <v>523</v>
      </c>
      <c r="U78" s="127" t="s">
        <v>35</v>
      </c>
      <c r="V78" s="16"/>
      <c r="W78" s="16"/>
    </row>
    <row r="79" spans="1:23" ht="12" customHeight="1">
      <c r="A79" s="101" t="s">
        <v>185</v>
      </c>
      <c r="B79" s="62" t="s">
        <v>433</v>
      </c>
      <c r="C79" s="120" t="s">
        <v>107</v>
      </c>
      <c r="D79" s="108" t="s">
        <v>188</v>
      </c>
      <c r="E79" s="120" t="s">
        <v>20</v>
      </c>
      <c r="F79" s="103" t="s">
        <v>46</v>
      </c>
      <c r="G79" s="104">
        <v>0.7</v>
      </c>
      <c r="H79" s="105">
        <v>0.75</v>
      </c>
      <c r="I79" s="102">
        <v>107</v>
      </c>
      <c r="J79" s="102">
        <v>79</v>
      </c>
      <c r="K79" s="106">
        <v>77</v>
      </c>
      <c r="L79" s="102">
        <f>AVERAGE(183,239,208)</f>
        <v>210</v>
      </c>
      <c r="M79" s="127" t="s">
        <v>470</v>
      </c>
      <c r="N79" s="102">
        <f>AVERAGE(300,255,329,250,255)</f>
        <v>277.8</v>
      </c>
      <c r="O79" s="105" t="s">
        <v>781</v>
      </c>
      <c r="P79" s="107">
        <v>350</v>
      </c>
      <c r="Q79" s="105" t="s">
        <v>731</v>
      </c>
      <c r="R79" s="127" t="s">
        <v>39</v>
      </c>
      <c r="S79" s="107" t="s">
        <v>20</v>
      </c>
      <c r="T79" s="105" t="s">
        <v>20</v>
      </c>
      <c r="U79" s="127" t="s">
        <v>20</v>
      </c>
      <c r="V79" s="16"/>
      <c r="W79" s="16"/>
    </row>
    <row r="80" spans="1:23" ht="12" customHeight="1">
      <c r="A80" s="101" t="s">
        <v>185</v>
      </c>
      <c r="B80" s="62" t="s">
        <v>324</v>
      </c>
      <c r="C80" s="120" t="s">
        <v>110</v>
      </c>
      <c r="D80" s="108">
        <v>2.8</v>
      </c>
      <c r="E80" s="120" t="s">
        <v>20</v>
      </c>
      <c r="F80" s="103" t="s">
        <v>46</v>
      </c>
      <c r="G80" s="104">
        <v>0.5</v>
      </c>
      <c r="H80" s="105">
        <v>0.82</v>
      </c>
      <c r="I80" s="102">
        <v>120</v>
      </c>
      <c r="J80" s="102">
        <v>84</v>
      </c>
      <c r="K80" s="106">
        <v>77</v>
      </c>
      <c r="L80" s="102">
        <f>AVERAGE(289,256,255,215,225,255,266)</f>
        <v>251.57142857142858</v>
      </c>
      <c r="M80" s="127" t="s">
        <v>453</v>
      </c>
      <c r="N80" s="102">
        <f>AVERAGE(320,350,334,313,400,300,394,234,430,301)</f>
        <v>337.6</v>
      </c>
      <c r="O80" s="105" t="s">
        <v>704</v>
      </c>
      <c r="P80" s="107">
        <v>365</v>
      </c>
      <c r="Q80" s="105" t="s">
        <v>731</v>
      </c>
      <c r="R80" s="127" t="s">
        <v>37</v>
      </c>
      <c r="S80" s="107" t="s">
        <v>20</v>
      </c>
      <c r="T80" s="105" t="s">
        <v>20</v>
      </c>
      <c r="U80" s="127" t="s">
        <v>20</v>
      </c>
      <c r="V80" s="16"/>
      <c r="W80" s="16"/>
    </row>
    <row r="81" spans="1:23" ht="12" customHeight="1">
      <c r="A81" s="101" t="s">
        <v>185</v>
      </c>
      <c r="B81" s="62" t="s">
        <v>448</v>
      </c>
      <c r="C81" s="120" t="s">
        <v>130</v>
      </c>
      <c r="D81" s="108">
        <v>2.8</v>
      </c>
      <c r="E81" s="120" t="s">
        <v>20</v>
      </c>
      <c r="F81" s="103" t="s">
        <v>46</v>
      </c>
      <c r="G81" s="104">
        <v>1</v>
      </c>
      <c r="H81" s="105">
        <v>0.845</v>
      </c>
      <c r="I81" s="102">
        <v>135.2</v>
      </c>
      <c r="J81" s="102">
        <v>78.2</v>
      </c>
      <c r="K81" s="106">
        <v>67</v>
      </c>
      <c r="L81" s="102">
        <f>AVERAGE(0)</f>
        <v>0</v>
      </c>
      <c r="M81" s="118" t="s">
        <v>20</v>
      </c>
      <c r="N81" s="102">
        <f>AVERAGE(0)</f>
        <v>0</v>
      </c>
      <c r="O81" s="120" t="s">
        <v>20</v>
      </c>
      <c r="P81" s="107" t="s">
        <v>20</v>
      </c>
      <c r="Q81" s="102" t="s">
        <v>20</v>
      </c>
      <c r="R81" s="106" t="s">
        <v>20</v>
      </c>
      <c r="S81" s="107" t="s">
        <v>20</v>
      </c>
      <c r="T81" s="102" t="s">
        <v>20</v>
      </c>
      <c r="U81" s="106" t="s">
        <v>20</v>
      </c>
      <c r="V81" s="16"/>
      <c r="W81" s="16"/>
    </row>
    <row r="82" spans="1:23" ht="12" customHeight="1">
      <c r="A82" s="101" t="s">
        <v>185</v>
      </c>
      <c r="B82" s="62" t="s">
        <v>325</v>
      </c>
      <c r="C82" s="120" t="s">
        <v>119</v>
      </c>
      <c r="D82" s="108">
        <v>2.8</v>
      </c>
      <c r="E82" s="120" t="s">
        <v>20</v>
      </c>
      <c r="F82" s="103" t="s">
        <v>46</v>
      </c>
      <c r="G82" s="104">
        <v>1.8</v>
      </c>
      <c r="H82" s="105">
        <v>1.35</v>
      </c>
      <c r="I82" s="102">
        <v>184</v>
      </c>
      <c r="J82" s="102">
        <v>84</v>
      </c>
      <c r="K82" s="106">
        <v>77</v>
      </c>
      <c r="L82" s="107">
        <f>AVERAGE(365,306,344,388,430,395,380,325,330)</f>
        <v>362.55555555555554</v>
      </c>
      <c r="M82" s="118" t="s">
        <v>375</v>
      </c>
      <c r="N82" s="102">
        <f>AVERAGE(525,510,507,471,464,462,600)</f>
        <v>505.57142857142856</v>
      </c>
      <c r="O82" s="120" t="s">
        <v>731</v>
      </c>
      <c r="P82" s="123">
        <v>340</v>
      </c>
      <c r="Q82" s="102" t="s">
        <v>435</v>
      </c>
      <c r="R82" s="126" t="s">
        <v>35</v>
      </c>
      <c r="S82" s="123" t="s">
        <v>461</v>
      </c>
      <c r="T82" s="102" t="s">
        <v>466</v>
      </c>
      <c r="U82" s="126" t="s">
        <v>39</v>
      </c>
      <c r="V82" s="16"/>
      <c r="W82" s="16"/>
    </row>
    <row r="83" spans="1:23" ht="12" customHeight="1">
      <c r="A83" s="111" t="s">
        <v>185</v>
      </c>
      <c r="B83" s="64" t="s">
        <v>186</v>
      </c>
      <c r="C83" s="112" t="s">
        <v>134</v>
      </c>
      <c r="D83" s="113">
        <v>4</v>
      </c>
      <c r="E83" s="112" t="s">
        <v>20</v>
      </c>
      <c r="F83" s="114" t="s">
        <v>46</v>
      </c>
      <c r="G83" s="115">
        <v>2</v>
      </c>
      <c r="H83" s="116">
        <v>1.52</v>
      </c>
      <c r="I83" s="112">
        <v>228.6</v>
      </c>
      <c r="J83" s="112">
        <v>81.3</v>
      </c>
      <c r="K83" s="117">
        <v>77</v>
      </c>
      <c r="L83" s="121">
        <f>AVERAGE(126,231)</f>
        <v>178.5</v>
      </c>
      <c r="M83" s="117" t="s">
        <v>781</v>
      </c>
      <c r="N83" s="112">
        <f>AVERAGE(370,355)</f>
        <v>362.5</v>
      </c>
      <c r="O83" s="112" t="s">
        <v>453</v>
      </c>
      <c r="P83" s="121">
        <v>295</v>
      </c>
      <c r="Q83" s="112" t="s">
        <v>731</v>
      </c>
      <c r="R83" s="117" t="s">
        <v>37</v>
      </c>
      <c r="S83" s="121">
        <v>415</v>
      </c>
      <c r="T83" s="112" t="s">
        <v>362</v>
      </c>
      <c r="U83" s="117" t="s">
        <v>35</v>
      </c>
      <c r="V83" s="16"/>
      <c r="W83" s="16"/>
    </row>
  </sheetData>
  <sheetProtection password="990B" sheet="1" objects="1" scenarios="1"/>
  <conditionalFormatting sqref="T1:T41 T45:T68 Q45:Q68 O45:O68 M45:M68 O1:O41 Q1:Q41 M1:M39 M70:M65536 T70:T65536 O70:O65536 Q70:Q65536">
    <cfRule type="cellIs" priority="1" dxfId="0" operator="lessThan" stopIfTrue="1">
      <formula>".08-09"</formula>
    </cfRule>
  </conditionalFormatting>
  <conditionalFormatting sqref="O69 M69 T69 Q69 O42:O44 T42:T44 Q42:Q44 M40:M44">
    <cfRule type="cellIs" priority="2" dxfId="0" operator="lessThan" stopIfTrue="1">
      <formula>".07-06"</formula>
    </cfRule>
  </conditionalFormatting>
  <printOptions/>
  <pageMargins left="0.3" right="0" top="0.5" bottom="0" header="0.590551181102362" footer="0.511811023622047"/>
  <pageSetup horizontalDpi="600" verticalDpi="600" orientation="landscape" r:id="rId1"/>
  <headerFooter alignWithMargins="0">
    <oddHeader>&amp;R&amp;9(&amp;P of &amp;N)</oddHeader>
  </headerFooter>
  <rowBreaks count="2" manualBreakCount="2">
    <brk id="37" max="255" man="1"/>
    <brk id="64" max="255" man="1"/>
  </rowBreaks>
</worksheet>
</file>

<file path=xl/worksheets/sheet7.xml><?xml version="1.0" encoding="utf-8"?>
<worksheet xmlns="http://schemas.openxmlformats.org/spreadsheetml/2006/main" xmlns:r="http://schemas.openxmlformats.org/officeDocument/2006/relationships">
  <sheetPr codeName="Sheet11"/>
  <dimension ref="A1:V36"/>
  <sheetViews>
    <sheetView workbookViewId="0" topLeftCell="A1">
      <selection activeCell="A1" sqref="A1"/>
    </sheetView>
  </sheetViews>
  <sheetFormatPr defaultColWidth="9.140625" defaultRowHeight="12" customHeight="1"/>
  <cols>
    <col min="1" max="1" width="8.140625" style="81" customWidth="1"/>
    <col min="2" max="2" width="23.8515625" style="81" customWidth="1"/>
    <col min="3" max="3" width="6.421875" style="15" customWidth="1"/>
    <col min="4" max="4" width="4.7109375" style="14" customWidth="1"/>
    <col min="5" max="5" width="4.8515625" style="15" customWidth="1"/>
    <col min="6" max="6" width="4.7109375" style="18" customWidth="1"/>
    <col min="7" max="7" width="4.7109375" style="52" customWidth="1"/>
    <col min="8" max="8" width="4.7109375" style="80" customWidth="1"/>
    <col min="9" max="11" width="4.7109375" style="15" customWidth="1"/>
    <col min="12" max="17" width="5.28125" style="15" customWidth="1"/>
    <col min="18" max="18" width="6.421875" style="15" customWidth="1"/>
    <col min="19" max="20" width="5.28125" style="15" customWidth="1"/>
    <col min="21" max="21" width="6.421875" style="15" customWidth="1"/>
    <col min="22" max="22" width="3.140625" style="15" customWidth="1"/>
    <col min="23" max="16384" width="9.140625" style="20" customWidth="1"/>
  </cols>
  <sheetData>
    <row r="1" spans="1:21" ht="12" customHeight="1">
      <c r="A1" s="10" t="str">
        <f>i!A1</f>
        <v>Lens$db: Lens Price database</v>
      </c>
      <c r="B1" s="33"/>
      <c r="C1" s="49" t="s">
        <v>20</v>
      </c>
      <c r="D1" s="33" t="s">
        <v>20</v>
      </c>
      <c r="E1" s="49" t="s">
        <v>20</v>
      </c>
      <c r="F1" s="33" t="s">
        <v>20</v>
      </c>
      <c r="G1" s="52" t="s">
        <v>20</v>
      </c>
      <c r="H1" s="80" t="s">
        <v>20</v>
      </c>
      <c r="I1" s="15" t="s">
        <v>20</v>
      </c>
      <c r="J1" s="65" t="s">
        <v>20</v>
      </c>
      <c r="K1" s="15" t="s">
        <v>20</v>
      </c>
      <c r="L1" s="16" t="s">
        <v>20</v>
      </c>
      <c r="M1" s="16" t="s">
        <v>20</v>
      </c>
      <c r="N1" s="16" t="s">
        <v>20</v>
      </c>
      <c r="O1" s="16" t="s">
        <v>20</v>
      </c>
      <c r="P1" s="16" t="s">
        <v>20</v>
      </c>
      <c r="Q1" s="17" t="str">
        <f>i!B3</f>
        <v>.2010-06-01</v>
      </c>
      <c r="S1" s="51"/>
      <c r="T1" s="16" t="s">
        <v>20</v>
      </c>
      <c r="U1" s="15" t="s">
        <v>20</v>
      </c>
    </row>
    <row r="2" spans="1:21" ht="12" customHeight="1">
      <c r="A2" s="41"/>
      <c r="F2" s="40"/>
      <c r="G2" s="48"/>
      <c r="H2" s="57"/>
      <c r="I2" s="16"/>
      <c r="J2" s="11"/>
      <c r="K2" s="16"/>
      <c r="L2" s="16"/>
      <c r="M2" s="16"/>
      <c r="N2" s="28"/>
      <c r="O2" s="16"/>
      <c r="P2" s="28"/>
      <c r="Q2" s="16"/>
      <c r="R2" s="28"/>
      <c r="S2" s="28"/>
      <c r="T2" s="16"/>
      <c r="U2" s="38"/>
    </row>
    <row r="3" spans="1:22" s="33" customFormat="1" ht="12" customHeight="1">
      <c r="A3" s="41" t="s">
        <v>20</v>
      </c>
      <c r="B3" s="33" t="s">
        <v>20</v>
      </c>
      <c r="C3" s="53" t="s">
        <v>20</v>
      </c>
      <c r="D3" s="22" t="s">
        <v>20</v>
      </c>
      <c r="E3" s="53" t="s">
        <v>20</v>
      </c>
      <c r="F3" s="83" t="s">
        <v>20</v>
      </c>
      <c r="G3" s="54" t="s">
        <v>20</v>
      </c>
      <c r="H3" s="54" t="s">
        <v>20</v>
      </c>
      <c r="I3" s="54" t="s">
        <v>20</v>
      </c>
      <c r="J3" s="28" t="s">
        <v>20</v>
      </c>
      <c r="K3" s="54" t="s">
        <v>20</v>
      </c>
      <c r="L3" s="84" t="s">
        <v>20</v>
      </c>
      <c r="M3" s="30" t="s">
        <v>20</v>
      </c>
      <c r="N3" s="30" t="s">
        <v>21</v>
      </c>
      <c r="O3" s="30" t="s">
        <v>20</v>
      </c>
      <c r="P3" s="84" t="s">
        <v>20</v>
      </c>
      <c r="Q3" s="30" t="s">
        <v>20</v>
      </c>
      <c r="R3" s="31" t="s">
        <v>22</v>
      </c>
      <c r="S3" s="30"/>
      <c r="T3" s="30" t="s">
        <v>20</v>
      </c>
      <c r="U3" s="157" t="s">
        <v>20</v>
      </c>
      <c r="V3" s="12"/>
    </row>
    <row r="4" spans="1:22" s="41" customFormat="1" ht="12" customHeight="1">
      <c r="A4" s="33" t="s">
        <v>575</v>
      </c>
      <c r="B4" s="33"/>
      <c r="C4" s="16" t="s">
        <v>6</v>
      </c>
      <c r="D4" s="19" t="s">
        <v>13</v>
      </c>
      <c r="E4" s="16" t="s">
        <v>642</v>
      </c>
      <c r="F4" s="144" t="s">
        <v>15</v>
      </c>
      <c r="G4" s="56" t="s">
        <v>519</v>
      </c>
      <c r="H4" s="57" t="s">
        <v>7</v>
      </c>
      <c r="I4" s="16" t="s">
        <v>587</v>
      </c>
      <c r="J4" s="16" t="s">
        <v>588</v>
      </c>
      <c r="K4" s="35" t="s">
        <v>589</v>
      </c>
      <c r="L4" s="36" t="s">
        <v>23</v>
      </c>
      <c r="M4" s="37"/>
      <c r="N4" s="38" t="s">
        <v>24</v>
      </c>
      <c r="O4" s="37"/>
      <c r="P4" s="131"/>
      <c r="Q4" s="35" t="s">
        <v>9</v>
      </c>
      <c r="R4" s="35"/>
      <c r="S4" s="132"/>
      <c r="T4" s="35" t="s">
        <v>11</v>
      </c>
      <c r="U4" s="35"/>
      <c r="V4" s="16"/>
    </row>
    <row r="5" spans="1:22" s="41" customFormat="1" ht="12" customHeight="1">
      <c r="A5" s="42" t="s">
        <v>20</v>
      </c>
      <c r="B5" s="42" t="s">
        <v>20</v>
      </c>
      <c r="C5" s="28" t="s">
        <v>25</v>
      </c>
      <c r="D5" s="45" t="s">
        <v>20</v>
      </c>
      <c r="E5" s="28" t="s">
        <v>20</v>
      </c>
      <c r="F5" s="92" t="s">
        <v>20</v>
      </c>
      <c r="G5" s="60" t="s">
        <v>43</v>
      </c>
      <c r="H5" s="61" t="s">
        <v>26</v>
      </c>
      <c r="I5" s="28" t="s">
        <v>25</v>
      </c>
      <c r="J5" s="28" t="s">
        <v>25</v>
      </c>
      <c r="K5" s="37" t="s">
        <v>25</v>
      </c>
      <c r="L5" s="27" t="s">
        <v>27</v>
      </c>
      <c r="M5" s="37" t="s">
        <v>28</v>
      </c>
      <c r="N5" s="28" t="s">
        <v>27</v>
      </c>
      <c r="O5" s="28" t="s">
        <v>28</v>
      </c>
      <c r="P5" s="39" t="s">
        <v>27</v>
      </c>
      <c r="Q5" s="30" t="s">
        <v>28</v>
      </c>
      <c r="R5" s="32" t="s">
        <v>29</v>
      </c>
      <c r="S5" s="39" t="s">
        <v>27</v>
      </c>
      <c r="T5" s="30" t="s">
        <v>28</v>
      </c>
      <c r="U5" s="32" t="s">
        <v>29</v>
      </c>
      <c r="V5" s="16"/>
    </row>
    <row r="6" spans="1:21" s="41" customFormat="1" ht="12" customHeight="1">
      <c r="A6" s="143" t="s">
        <v>625</v>
      </c>
      <c r="B6" s="74"/>
      <c r="C6" s="30"/>
      <c r="D6" s="75"/>
      <c r="E6" s="30"/>
      <c r="F6" s="78"/>
      <c r="G6" s="76"/>
      <c r="H6" s="77"/>
      <c r="I6" s="30"/>
      <c r="J6" s="30"/>
      <c r="K6" s="30"/>
      <c r="L6" s="30"/>
      <c r="M6" s="30"/>
      <c r="N6" s="30"/>
      <c r="O6" s="30"/>
      <c r="P6" s="30"/>
      <c r="Q6" s="30"/>
      <c r="R6" s="30"/>
      <c r="S6" s="30"/>
      <c r="T6" s="30"/>
      <c r="U6" s="30"/>
    </row>
    <row r="7" spans="1:21" ht="12" customHeight="1">
      <c r="A7" s="81" t="s">
        <v>409</v>
      </c>
      <c r="B7" s="81" t="s">
        <v>517</v>
      </c>
      <c r="C7" s="15">
        <v>24</v>
      </c>
      <c r="D7" s="14" t="s">
        <v>199</v>
      </c>
      <c r="E7" s="35">
        <f aca="true" t="shared" si="0" ref="E7:E26">1.6*C7</f>
        <v>38.400000000000006</v>
      </c>
      <c r="F7" s="93" t="s">
        <v>408</v>
      </c>
      <c r="G7" s="52">
        <v>0.3</v>
      </c>
      <c r="H7" s="80">
        <v>0.785</v>
      </c>
      <c r="I7" s="15">
        <v>82</v>
      </c>
      <c r="J7" s="15">
        <v>100</v>
      </c>
      <c r="K7" s="35" t="s">
        <v>203</v>
      </c>
      <c r="L7" s="26">
        <f>AVERAGE(1005,1303,1000)</f>
        <v>1102.6666666666667</v>
      </c>
      <c r="M7" s="43" t="s">
        <v>781</v>
      </c>
      <c r="N7" s="26">
        <f>AVERAGE(2001)</f>
        <v>2001</v>
      </c>
      <c r="O7" s="43" t="s">
        <v>704</v>
      </c>
      <c r="P7" s="26">
        <v>749</v>
      </c>
      <c r="Q7" s="16" t="s">
        <v>523</v>
      </c>
      <c r="R7" s="35" t="s">
        <v>38</v>
      </c>
      <c r="S7" s="72">
        <v>2200</v>
      </c>
      <c r="T7" s="16" t="s">
        <v>494</v>
      </c>
      <c r="U7" s="35" t="s">
        <v>39</v>
      </c>
    </row>
    <row r="8" spans="1:21" ht="12" customHeight="1">
      <c r="A8" s="81" t="s">
        <v>409</v>
      </c>
      <c r="B8" s="81" t="s">
        <v>472</v>
      </c>
      <c r="C8" s="15">
        <v>35</v>
      </c>
      <c r="D8" s="14">
        <v>3.5</v>
      </c>
      <c r="E8" s="35">
        <f t="shared" si="0"/>
        <v>56</v>
      </c>
      <c r="F8" s="93" t="s">
        <v>408</v>
      </c>
      <c r="G8" s="52">
        <v>0.45</v>
      </c>
      <c r="H8" s="80">
        <v>0.445</v>
      </c>
      <c r="I8" s="15">
        <v>61</v>
      </c>
      <c r="J8" s="15">
        <v>80</v>
      </c>
      <c r="K8" s="35">
        <v>77</v>
      </c>
      <c r="L8" s="26">
        <f>AVERAGE(255,205,203,249,226,295,320,277,295,313,305)</f>
        <v>267.54545454545456</v>
      </c>
      <c r="M8" s="43" t="s">
        <v>781</v>
      </c>
      <c r="N8" s="26">
        <f>AVERAGE(399,230,350,299,350,357,380,378,342)</f>
        <v>342.77777777777777</v>
      </c>
      <c r="O8" s="43" t="s">
        <v>781</v>
      </c>
      <c r="P8" s="15">
        <v>415</v>
      </c>
      <c r="Q8" s="15" t="s">
        <v>731</v>
      </c>
      <c r="R8" s="15" t="s">
        <v>35</v>
      </c>
      <c r="S8" s="26">
        <v>525</v>
      </c>
      <c r="T8" s="16" t="s">
        <v>667</v>
      </c>
      <c r="U8" s="35" t="s">
        <v>35</v>
      </c>
    </row>
    <row r="9" spans="1:21" ht="12" customHeight="1">
      <c r="A9" s="81" t="s">
        <v>409</v>
      </c>
      <c r="B9" s="81" t="s">
        <v>473</v>
      </c>
      <c r="C9" s="15">
        <v>45</v>
      </c>
      <c r="D9" s="14" t="s">
        <v>248</v>
      </c>
      <c r="E9" s="35">
        <f t="shared" si="0"/>
        <v>72</v>
      </c>
      <c r="F9" s="93" t="s">
        <v>408</v>
      </c>
      <c r="G9" s="52">
        <v>0.45</v>
      </c>
      <c r="H9" s="80">
        <v>0.475</v>
      </c>
      <c r="I9" s="15">
        <v>70</v>
      </c>
      <c r="J9" s="15">
        <v>70.5</v>
      </c>
      <c r="K9" s="35">
        <v>67</v>
      </c>
      <c r="L9" s="26">
        <f>AVERAGE(173,101,178,167,153,200,180,175)</f>
        <v>165.875</v>
      </c>
      <c r="M9" s="43" t="s">
        <v>781</v>
      </c>
      <c r="N9" s="26">
        <f>AVERAGE(235,230,310,239,310,203,243)</f>
        <v>252.85714285714286</v>
      </c>
      <c r="O9" s="43" t="s">
        <v>541</v>
      </c>
      <c r="P9" s="26">
        <v>225</v>
      </c>
      <c r="Q9" s="16" t="s">
        <v>781</v>
      </c>
      <c r="R9" s="35" t="s">
        <v>35</v>
      </c>
      <c r="S9" s="26">
        <v>365</v>
      </c>
      <c r="T9" s="16" t="s">
        <v>781</v>
      </c>
      <c r="U9" s="35" t="s">
        <v>35</v>
      </c>
    </row>
    <row r="10" spans="1:21" ht="12" customHeight="1">
      <c r="A10" s="81" t="s">
        <v>409</v>
      </c>
      <c r="B10" s="81" t="s">
        <v>474</v>
      </c>
      <c r="C10" s="15">
        <v>50</v>
      </c>
      <c r="D10" s="14">
        <v>4</v>
      </c>
      <c r="E10" s="35">
        <f t="shared" si="0"/>
        <v>80</v>
      </c>
      <c r="F10" s="93" t="s">
        <v>408</v>
      </c>
      <c r="G10" s="52">
        <v>0.45</v>
      </c>
      <c r="H10" s="80">
        <v>0.735</v>
      </c>
      <c r="I10" s="15">
        <v>105</v>
      </c>
      <c r="J10" s="15">
        <v>80</v>
      </c>
      <c r="K10" s="35">
        <v>77</v>
      </c>
      <c r="L10" s="26">
        <f>AVERAGE(432,403,498,395,359,426,395,425,475,475)</f>
        <v>428.3</v>
      </c>
      <c r="M10" s="43" t="s">
        <v>781</v>
      </c>
      <c r="N10" s="26">
        <f>AVERAGE(750,677,425,686,510,640,640,670,570)</f>
        <v>618.6666666666666</v>
      </c>
      <c r="O10" s="43" t="s">
        <v>523</v>
      </c>
      <c r="P10" s="26">
        <v>465</v>
      </c>
      <c r="Q10" s="16" t="s">
        <v>781</v>
      </c>
      <c r="R10" s="35" t="s">
        <v>35</v>
      </c>
      <c r="S10" s="26">
        <v>600</v>
      </c>
      <c r="T10" s="16" t="s">
        <v>667</v>
      </c>
      <c r="U10" s="35" t="s">
        <v>35</v>
      </c>
    </row>
    <row r="11" spans="1:21" ht="12" customHeight="1">
      <c r="A11" s="81" t="s">
        <v>409</v>
      </c>
      <c r="B11" s="81" t="s">
        <v>475</v>
      </c>
      <c r="C11" s="15">
        <v>55</v>
      </c>
      <c r="D11" s="14" t="s">
        <v>248</v>
      </c>
      <c r="E11" s="35">
        <f t="shared" si="0"/>
        <v>88</v>
      </c>
      <c r="F11" s="93" t="s">
        <v>408</v>
      </c>
      <c r="G11" s="52">
        <v>0.45</v>
      </c>
      <c r="H11" s="80">
        <v>0.305</v>
      </c>
      <c r="I11" s="15">
        <v>59</v>
      </c>
      <c r="J11" s="15">
        <v>70</v>
      </c>
      <c r="K11" s="35">
        <v>58</v>
      </c>
      <c r="L11" s="26">
        <f>AVERAGE(86,98,104,130,100,154,116,100,118,87,107,130)</f>
        <v>110.83333333333333</v>
      </c>
      <c r="M11" s="43" t="s">
        <v>781</v>
      </c>
      <c r="N11" s="26">
        <f>AVERAGE(175,180,165,189,153,179,165,190,169)</f>
        <v>173.88888888888889</v>
      </c>
      <c r="O11" s="43" t="s">
        <v>667</v>
      </c>
      <c r="P11" s="26">
        <v>130</v>
      </c>
      <c r="Q11" s="16" t="s">
        <v>781</v>
      </c>
      <c r="R11" s="35" t="s">
        <v>689</v>
      </c>
      <c r="S11" s="26">
        <v>225</v>
      </c>
      <c r="T11" s="16" t="s">
        <v>704</v>
      </c>
      <c r="U11" s="35" t="s">
        <v>33</v>
      </c>
    </row>
    <row r="12" spans="1:21" ht="12" customHeight="1">
      <c r="A12" s="81" t="s">
        <v>409</v>
      </c>
      <c r="B12" s="81" t="s">
        <v>486</v>
      </c>
      <c r="C12" s="15">
        <v>80</v>
      </c>
      <c r="D12" s="14" t="s">
        <v>412</v>
      </c>
      <c r="E12" s="35">
        <f>1.6*C12</f>
        <v>128</v>
      </c>
      <c r="F12" s="93" t="s">
        <v>408</v>
      </c>
      <c r="G12" s="52">
        <v>0.7</v>
      </c>
      <c r="H12" s="80">
        <v>0.42</v>
      </c>
      <c r="I12" s="15">
        <v>59</v>
      </c>
      <c r="J12" s="15">
        <v>75.5</v>
      </c>
      <c r="K12" s="35">
        <v>67</v>
      </c>
      <c r="L12" s="26">
        <f>AVERAGE(178,153,160,200,150)</f>
        <v>168.2</v>
      </c>
      <c r="M12" s="43" t="s">
        <v>781</v>
      </c>
      <c r="N12" s="26">
        <f>AVERAGE(249,263,199,213,225,255)</f>
        <v>234</v>
      </c>
      <c r="O12" s="43" t="s">
        <v>731</v>
      </c>
      <c r="P12" s="26">
        <v>200</v>
      </c>
      <c r="Q12" s="16" t="s">
        <v>781</v>
      </c>
      <c r="R12" s="35" t="s">
        <v>689</v>
      </c>
      <c r="S12" s="26">
        <v>270</v>
      </c>
      <c r="T12" s="16" t="s">
        <v>462</v>
      </c>
      <c r="U12" s="35" t="s">
        <v>38</v>
      </c>
    </row>
    <row r="13" spans="1:21" ht="12" customHeight="1">
      <c r="A13" s="81" t="s">
        <v>409</v>
      </c>
      <c r="B13" s="81" t="s">
        <v>518</v>
      </c>
      <c r="C13" s="15">
        <v>80</v>
      </c>
      <c r="D13" s="14" t="s">
        <v>412</v>
      </c>
      <c r="E13" s="35">
        <f t="shared" si="0"/>
        <v>128</v>
      </c>
      <c r="F13" s="93" t="s">
        <v>408</v>
      </c>
      <c r="G13" s="52" t="s">
        <v>20</v>
      </c>
      <c r="H13" s="80" t="s">
        <v>20</v>
      </c>
      <c r="I13" s="15" t="s">
        <v>20</v>
      </c>
      <c r="J13" s="15" t="s">
        <v>20</v>
      </c>
      <c r="K13" s="35" t="s">
        <v>20</v>
      </c>
      <c r="L13" s="26">
        <f>AVERAGE(170,250)</f>
        <v>210</v>
      </c>
      <c r="M13" s="43" t="s">
        <v>781</v>
      </c>
      <c r="N13" s="26">
        <f>AVERAGE(280,350)</f>
        <v>315</v>
      </c>
      <c r="O13" s="43" t="s">
        <v>781</v>
      </c>
      <c r="P13" s="26">
        <v>310</v>
      </c>
      <c r="Q13" s="16" t="s">
        <v>731</v>
      </c>
      <c r="R13" s="35" t="s">
        <v>35</v>
      </c>
      <c r="S13" s="26">
        <v>300</v>
      </c>
      <c r="T13" s="16" t="s">
        <v>523</v>
      </c>
      <c r="U13" s="35" t="s">
        <v>38</v>
      </c>
    </row>
    <row r="14" spans="1:21" ht="12" customHeight="1">
      <c r="A14" s="81" t="s">
        <v>409</v>
      </c>
      <c r="B14" s="81" t="s">
        <v>591</v>
      </c>
      <c r="C14" s="15">
        <v>80</v>
      </c>
      <c r="D14" s="14" t="s">
        <v>248</v>
      </c>
      <c r="E14" s="35">
        <f>1.6*C14</f>
        <v>128</v>
      </c>
      <c r="F14" s="93" t="s">
        <v>408</v>
      </c>
      <c r="G14" s="52">
        <v>0.7</v>
      </c>
      <c r="H14" s="80">
        <v>0.25</v>
      </c>
      <c r="I14" s="15">
        <v>47</v>
      </c>
      <c r="J14" s="15">
        <v>70</v>
      </c>
      <c r="K14" s="35">
        <v>58</v>
      </c>
      <c r="L14" s="26">
        <f>AVERAGE(47,44)</f>
        <v>45.5</v>
      </c>
      <c r="M14" s="43" t="s">
        <v>667</v>
      </c>
      <c r="N14" s="26">
        <f>AVERAGE(0)</f>
        <v>0</v>
      </c>
      <c r="O14" s="43" t="s">
        <v>20</v>
      </c>
      <c r="P14" s="26">
        <v>50</v>
      </c>
      <c r="Q14" s="16" t="s">
        <v>731</v>
      </c>
      <c r="R14" s="35" t="s">
        <v>35</v>
      </c>
      <c r="S14" s="26" t="s">
        <v>20</v>
      </c>
      <c r="T14" s="16" t="s">
        <v>20</v>
      </c>
      <c r="U14" s="35" t="s">
        <v>20</v>
      </c>
    </row>
    <row r="15" spans="1:21" ht="12" customHeight="1">
      <c r="A15" s="81" t="s">
        <v>409</v>
      </c>
      <c r="B15" s="81" t="s">
        <v>476</v>
      </c>
      <c r="C15" s="15">
        <v>80</v>
      </c>
      <c r="D15" s="14" t="s">
        <v>248</v>
      </c>
      <c r="E15" s="35">
        <f t="shared" si="0"/>
        <v>128</v>
      </c>
      <c r="F15" s="93" t="s">
        <v>408</v>
      </c>
      <c r="G15" s="52">
        <v>0.7</v>
      </c>
      <c r="H15" s="80">
        <v>0.22</v>
      </c>
      <c r="I15" s="15">
        <v>43</v>
      </c>
      <c r="J15" s="15">
        <v>70</v>
      </c>
      <c r="K15" s="35">
        <v>58</v>
      </c>
      <c r="L15" s="26">
        <f>AVERAGE(50,65,54,60,60)</f>
        <v>57.8</v>
      </c>
      <c r="M15" s="43" t="s">
        <v>523</v>
      </c>
      <c r="N15" s="26">
        <f>AVERAGE(100,115,99,77,109,70,81,60,77)</f>
        <v>87.55555555555556</v>
      </c>
      <c r="O15" s="43" t="s">
        <v>536</v>
      </c>
      <c r="P15" s="26">
        <v>50</v>
      </c>
      <c r="Q15" s="16" t="s">
        <v>781</v>
      </c>
      <c r="R15" s="35" t="s">
        <v>35</v>
      </c>
      <c r="S15" s="26">
        <v>70</v>
      </c>
      <c r="T15" s="16" t="s">
        <v>781</v>
      </c>
      <c r="U15" s="35" t="s">
        <v>35</v>
      </c>
    </row>
    <row r="16" spans="1:21" ht="11.25">
      <c r="A16" s="81" t="s">
        <v>409</v>
      </c>
      <c r="B16" s="81" t="s">
        <v>477</v>
      </c>
      <c r="C16" s="15">
        <v>80</v>
      </c>
      <c r="D16" s="14" t="s">
        <v>199</v>
      </c>
      <c r="E16" s="35">
        <f t="shared" si="0"/>
        <v>128</v>
      </c>
      <c r="F16" s="93" t="s">
        <v>408</v>
      </c>
      <c r="G16" s="52">
        <v>0.37</v>
      </c>
      <c r="H16" s="80">
        <v>0.585</v>
      </c>
      <c r="I16" s="15">
        <v>75</v>
      </c>
      <c r="J16" s="15">
        <v>79</v>
      </c>
      <c r="K16" s="35">
        <v>67</v>
      </c>
      <c r="L16" s="26">
        <f>AVERAGE(145)</f>
        <v>145</v>
      </c>
      <c r="M16" s="43" t="s">
        <v>523</v>
      </c>
      <c r="N16" s="26">
        <f>AVERAGE(339,300,200)</f>
        <v>279.6666666666667</v>
      </c>
      <c r="O16" s="43" t="s">
        <v>731</v>
      </c>
      <c r="P16" s="26">
        <v>180</v>
      </c>
      <c r="Q16" s="16" t="s">
        <v>781</v>
      </c>
      <c r="R16" s="35" t="s">
        <v>35</v>
      </c>
      <c r="S16" s="26">
        <v>205</v>
      </c>
      <c r="T16" s="16" t="s">
        <v>667</v>
      </c>
      <c r="U16" s="35" t="s">
        <v>33</v>
      </c>
    </row>
    <row r="17" spans="1:21" ht="11.25">
      <c r="A17" s="81" t="s">
        <v>409</v>
      </c>
      <c r="B17" s="81" t="s">
        <v>666</v>
      </c>
      <c r="C17" s="15">
        <v>110</v>
      </c>
      <c r="D17" s="14" t="s">
        <v>248</v>
      </c>
      <c r="E17" s="35">
        <f t="shared" si="0"/>
        <v>176</v>
      </c>
      <c r="F17" s="93" t="s">
        <v>408</v>
      </c>
      <c r="G17" s="52">
        <v>1.2</v>
      </c>
      <c r="H17" s="80">
        <v>0.39</v>
      </c>
      <c r="I17" s="15">
        <v>60</v>
      </c>
      <c r="J17" s="15">
        <v>70</v>
      </c>
      <c r="K17" s="35">
        <v>58</v>
      </c>
      <c r="L17" s="26">
        <f>AVERAGE(0)</f>
        <v>0</v>
      </c>
      <c r="M17" s="43" t="s">
        <v>20</v>
      </c>
      <c r="N17" s="26">
        <f>AVERAGE(179)</f>
        <v>179</v>
      </c>
      <c r="O17" s="43" t="s">
        <v>667</v>
      </c>
      <c r="P17" s="26">
        <v>190</v>
      </c>
      <c r="Q17" s="16" t="s">
        <v>781</v>
      </c>
      <c r="R17" s="35" t="s">
        <v>35</v>
      </c>
      <c r="S17" s="26">
        <v>130</v>
      </c>
      <c r="T17" s="16" t="s">
        <v>781</v>
      </c>
      <c r="U17" s="35" t="s">
        <v>689</v>
      </c>
    </row>
    <row r="18" spans="1:21" ht="12" customHeight="1">
      <c r="A18" s="81" t="s">
        <v>409</v>
      </c>
      <c r="B18" s="81" t="s">
        <v>478</v>
      </c>
      <c r="C18" s="15">
        <v>150</v>
      </c>
      <c r="D18" s="14">
        <v>3.5</v>
      </c>
      <c r="E18" s="35">
        <f t="shared" si="0"/>
        <v>240</v>
      </c>
      <c r="F18" s="93" t="s">
        <v>408</v>
      </c>
      <c r="G18" s="52">
        <v>1.5</v>
      </c>
      <c r="H18" s="80">
        <v>0.415</v>
      </c>
      <c r="I18" s="15">
        <v>80</v>
      </c>
      <c r="J18" s="15">
        <v>70</v>
      </c>
      <c r="K18" s="35">
        <v>58</v>
      </c>
      <c r="L18" s="26">
        <f>AVERAGE(103,99,95,81,160,79,90,103,123,150,110,109)</f>
        <v>108.5</v>
      </c>
      <c r="M18" s="43" t="s">
        <v>781</v>
      </c>
      <c r="N18" s="26">
        <f>AVERAGE(179,199,145,165,180,225,183,158)</f>
        <v>179.25</v>
      </c>
      <c r="O18" s="43" t="s">
        <v>731</v>
      </c>
      <c r="P18" s="26">
        <v>85</v>
      </c>
      <c r="Q18" s="16" t="s">
        <v>781</v>
      </c>
      <c r="R18" s="35" t="s">
        <v>35</v>
      </c>
      <c r="S18" s="26">
        <v>110</v>
      </c>
      <c r="T18" s="16" t="s">
        <v>781</v>
      </c>
      <c r="U18" s="35" t="s">
        <v>689</v>
      </c>
    </row>
    <row r="19" spans="1:21" ht="12" customHeight="1">
      <c r="A19" s="81" t="s">
        <v>409</v>
      </c>
      <c r="B19" s="81" t="s">
        <v>479</v>
      </c>
      <c r="C19" s="15">
        <v>210</v>
      </c>
      <c r="D19" s="14">
        <v>4</v>
      </c>
      <c r="E19" s="35">
        <f t="shared" si="0"/>
        <v>336</v>
      </c>
      <c r="F19" s="93" t="s">
        <v>408</v>
      </c>
      <c r="G19" s="52">
        <v>2.5</v>
      </c>
      <c r="H19" s="80">
        <v>0.715</v>
      </c>
      <c r="I19" s="15">
        <v>137</v>
      </c>
      <c r="J19" s="15">
        <v>70</v>
      </c>
      <c r="K19" s="35">
        <v>58</v>
      </c>
      <c r="L19" s="26">
        <f>AVERAGE(70,104,145,135,111)</f>
        <v>113</v>
      </c>
      <c r="M19" s="43" t="s">
        <v>781</v>
      </c>
      <c r="N19" s="26">
        <f>AVERAGE(155,274,179)</f>
        <v>202.66666666666666</v>
      </c>
      <c r="O19" s="43" t="s">
        <v>781</v>
      </c>
      <c r="P19" s="26">
        <v>90</v>
      </c>
      <c r="Q19" s="16" t="s">
        <v>731</v>
      </c>
      <c r="R19" s="35" t="s">
        <v>35</v>
      </c>
      <c r="S19" s="26">
        <v>195</v>
      </c>
      <c r="T19" s="16" t="s">
        <v>781</v>
      </c>
      <c r="U19" s="35" t="s">
        <v>659</v>
      </c>
    </row>
    <row r="20" spans="1:21" ht="12" customHeight="1">
      <c r="A20" s="81" t="s">
        <v>409</v>
      </c>
      <c r="B20" s="81" t="s">
        <v>538</v>
      </c>
      <c r="C20" s="15">
        <v>300</v>
      </c>
      <c r="D20" s="14">
        <v>5.6</v>
      </c>
      <c r="E20" s="35">
        <f t="shared" si="0"/>
        <v>480</v>
      </c>
      <c r="F20" s="93" t="s">
        <v>408</v>
      </c>
      <c r="G20" s="52">
        <v>4</v>
      </c>
      <c r="H20" s="80">
        <v>0.7</v>
      </c>
      <c r="I20" s="15">
        <v>164</v>
      </c>
      <c r="J20" s="15">
        <v>71</v>
      </c>
      <c r="K20" s="35">
        <v>58</v>
      </c>
      <c r="L20" s="26">
        <f>AVERAGE(257,220,257,213)</f>
        <v>236.75</v>
      </c>
      <c r="M20" s="43" t="s">
        <v>553</v>
      </c>
      <c r="N20" s="26">
        <f>AVERAGE(0)</f>
        <v>0</v>
      </c>
      <c r="O20" s="43" t="s">
        <v>20</v>
      </c>
      <c r="P20" s="26">
        <v>255</v>
      </c>
      <c r="Q20" s="16" t="s">
        <v>731</v>
      </c>
      <c r="R20" s="35" t="s">
        <v>35</v>
      </c>
      <c r="S20" s="26">
        <v>350</v>
      </c>
      <c r="T20" s="16" t="s">
        <v>552</v>
      </c>
      <c r="U20" s="35" t="s">
        <v>33</v>
      </c>
    </row>
    <row r="21" spans="1:21" ht="12" customHeight="1">
      <c r="A21" s="64" t="s">
        <v>409</v>
      </c>
      <c r="B21" s="64" t="s">
        <v>539</v>
      </c>
      <c r="C21" s="28">
        <v>500</v>
      </c>
      <c r="D21" s="45">
        <v>5.6</v>
      </c>
      <c r="E21" s="37">
        <f t="shared" si="0"/>
        <v>800</v>
      </c>
      <c r="F21" s="94" t="s">
        <v>408</v>
      </c>
      <c r="G21" s="60">
        <v>9</v>
      </c>
      <c r="H21" s="61">
        <v>2.28</v>
      </c>
      <c r="I21" s="28">
        <v>358</v>
      </c>
      <c r="J21" s="28">
        <v>114</v>
      </c>
      <c r="K21" s="37">
        <v>105</v>
      </c>
      <c r="L21" s="27">
        <f>AVERAGE(355,470,445,425)</f>
        <v>423.75</v>
      </c>
      <c r="M21" s="46" t="s">
        <v>781</v>
      </c>
      <c r="N21" s="27">
        <f>AVERAGE(399,749)</f>
        <v>574</v>
      </c>
      <c r="O21" s="46" t="s">
        <v>536</v>
      </c>
      <c r="P21" s="27">
        <v>450</v>
      </c>
      <c r="Q21" s="28" t="s">
        <v>720</v>
      </c>
      <c r="R21" s="37" t="s">
        <v>35</v>
      </c>
      <c r="S21" s="27">
        <v>900</v>
      </c>
      <c r="T21" s="28" t="s">
        <v>536</v>
      </c>
      <c r="U21" s="37" t="s">
        <v>38</v>
      </c>
    </row>
    <row r="22" spans="1:21" ht="12" customHeight="1">
      <c r="A22" s="81" t="s">
        <v>409</v>
      </c>
      <c r="B22" s="81" t="s">
        <v>537</v>
      </c>
      <c r="C22" s="15">
        <v>120</v>
      </c>
      <c r="D22" s="14" t="s">
        <v>199</v>
      </c>
      <c r="E22" s="35">
        <f t="shared" si="0"/>
        <v>192</v>
      </c>
      <c r="F22" s="93" t="s">
        <v>408</v>
      </c>
      <c r="G22" s="52">
        <v>0.4</v>
      </c>
      <c r="H22" s="80">
        <v>0.745</v>
      </c>
      <c r="I22" s="15">
        <v>111</v>
      </c>
      <c r="J22" s="15">
        <v>77.4</v>
      </c>
      <c r="K22" s="35">
        <v>67</v>
      </c>
      <c r="L22" s="26">
        <f>AVERAGE(340,330,228,255,234,249,255,289,257)</f>
        <v>270.77777777777777</v>
      </c>
      <c r="M22" s="43" t="s">
        <v>781</v>
      </c>
      <c r="N22" s="26">
        <f>AVERAGE(291,249,307,362,350)</f>
        <v>311.8</v>
      </c>
      <c r="O22" s="43" t="s">
        <v>781</v>
      </c>
      <c r="P22" s="26">
        <v>340</v>
      </c>
      <c r="Q22" s="16" t="s">
        <v>781</v>
      </c>
      <c r="R22" s="35" t="s">
        <v>35</v>
      </c>
      <c r="S22" s="26">
        <v>395</v>
      </c>
      <c r="T22" s="16" t="s">
        <v>781</v>
      </c>
      <c r="U22" s="35" t="s">
        <v>659</v>
      </c>
    </row>
    <row r="23" spans="1:21" ht="12" customHeight="1">
      <c r="A23" s="81" t="s">
        <v>409</v>
      </c>
      <c r="B23" s="81" t="s">
        <v>540</v>
      </c>
      <c r="C23" s="15">
        <v>150</v>
      </c>
      <c r="D23" s="14" t="s">
        <v>248</v>
      </c>
      <c r="E23" s="35">
        <f t="shared" si="0"/>
        <v>240</v>
      </c>
      <c r="F23" s="93" t="s">
        <v>408</v>
      </c>
      <c r="G23" s="52">
        <v>1.5</v>
      </c>
      <c r="H23" s="80">
        <v>0.74</v>
      </c>
      <c r="I23" s="15">
        <v>107</v>
      </c>
      <c r="J23" s="15">
        <v>74.5</v>
      </c>
      <c r="K23" s="35">
        <v>67</v>
      </c>
      <c r="L23" s="26">
        <f>AVERAGE(250,202,187,200,190,150,240,200,215)</f>
        <v>203.77777777777777</v>
      </c>
      <c r="M23" s="43" t="s">
        <v>731</v>
      </c>
      <c r="N23" s="26">
        <f>AVERAGE(299,259,318,297,215,275)</f>
        <v>277.1666666666667</v>
      </c>
      <c r="O23" s="43" t="s">
        <v>667</v>
      </c>
      <c r="P23" s="26">
        <v>215</v>
      </c>
      <c r="Q23" s="16" t="s">
        <v>731</v>
      </c>
      <c r="R23" s="35" t="s">
        <v>35</v>
      </c>
      <c r="S23" s="26">
        <v>320</v>
      </c>
      <c r="T23" s="16" t="s">
        <v>552</v>
      </c>
      <c r="U23" s="35" t="s">
        <v>33</v>
      </c>
    </row>
    <row r="24" spans="1:21" ht="12" customHeight="1">
      <c r="A24" s="81" t="s">
        <v>409</v>
      </c>
      <c r="B24" s="81" t="s">
        <v>481</v>
      </c>
      <c r="C24" s="15">
        <v>200</v>
      </c>
      <c r="D24" s="14" t="s">
        <v>248</v>
      </c>
      <c r="E24" s="35">
        <f t="shared" si="0"/>
        <v>320</v>
      </c>
      <c r="F24" s="93" t="s">
        <v>408</v>
      </c>
      <c r="G24" s="52">
        <v>2.5</v>
      </c>
      <c r="H24" s="80">
        <v>1.1</v>
      </c>
      <c r="I24" s="15">
        <v>143.5</v>
      </c>
      <c r="J24" s="15">
        <v>91</v>
      </c>
      <c r="K24" s="35">
        <v>77</v>
      </c>
      <c r="L24" s="26">
        <f>AVERAGE(560,406,599,495,338,471,495,595,510)</f>
        <v>496.55555555555554</v>
      </c>
      <c r="M24" s="43" t="s">
        <v>731</v>
      </c>
      <c r="N24" s="26">
        <f>AVERAGE(699,598,598,640,640,620,749,560,510,560)</f>
        <v>617.4</v>
      </c>
      <c r="O24" s="43" t="s">
        <v>667</v>
      </c>
      <c r="P24" s="26">
        <v>645</v>
      </c>
      <c r="Q24" s="16" t="s">
        <v>731</v>
      </c>
      <c r="R24" s="35" t="s">
        <v>35</v>
      </c>
      <c r="S24" s="26">
        <v>725</v>
      </c>
      <c r="T24" s="16" t="s">
        <v>667</v>
      </c>
      <c r="U24" s="35" t="s">
        <v>35</v>
      </c>
    </row>
    <row r="25" spans="1:21" ht="12" customHeight="1">
      <c r="A25" s="81" t="s">
        <v>409</v>
      </c>
      <c r="B25" s="81" t="s">
        <v>480</v>
      </c>
      <c r="C25" s="15">
        <v>300</v>
      </c>
      <c r="D25" s="14" t="s">
        <v>248</v>
      </c>
      <c r="E25" s="35">
        <f t="shared" si="0"/>
        <v>480</v>
      </c>
      <c r="F25" s="93" t="s">
        <v>408</v>
      </c>
      <c r="G25" s="52">
        <v>3.5</v>
      </c>
      <c r="H25" s="80">
        <v>2.7</v>
      </c>
      <c r="I25" s="15">
        <v>237</v>
      </c>
      <c r="J25" s="15">
        <v>140</v>
      </c>
      <c r="K25" s="35" t="s">
        <v>471</v>
      </c>
      <c r="L25" s="26">
        <f>AVERAGE(1300)</f>
        <v>1300</v>
      </c>
      <c r="M25" s="43" t="s">
        <v>496</v>
      </c>
      <c r="N25" s="26">
        <f>AVERAGE(3300,1775,1550)</f>
        <v>2208.3333333333335</v>
      </c>
      <c r="O25" s="43" t="s">
        <v>552</v>
      </c>
      <c r="P25" s="26">
        <v>1995</v>
      </c>
      <c r="Q25" s="16" t="s">
        <v>781</v>
      </c>
      <c r="R25" s="35" t="s">
        <v>33</v>
      </c>
      <c r="S25" s="26">
        <v>2695</v>
      </c>
      <c r="T25" s="16" t="s">
        <v>720</v>
      </c>
      <c r="U25" s="35" t="s">
        <v>38</v>
      </c>
    </row>
    <row r="26" spans="1:21" ht="12" customHeight="1">
      <c r="A26" s="64" t="s">
        <v>409</v>
      </c>
      <c r="B26" s="64" t="s">
        <v>482</v>
      </c>
      <c r="C26" s="28">
        <v>500</v>
      </c>
      <c r="D26" s="45">
        <v>4.5</v>
      </c>
      <c r="E26" s="37">
        <f t="shared" si="0"/>
        <v>800</v>
      </c>
      <c r="F26" s="94" t="s">
        <v>408</v>
      </c>
      <c r="G26" s="60">
        <v>5</v>
      </c>
      <c r="H26" s="61">
        <v>5.4</v>
      </c>
      <c r="I26" s="28">
        <v>378</v>
      </c>
      <c r="J26" s="28">
        <v>162</v>
      </c>
      <c r="K26" s="37" t="s">
        <v>471</v>
      </c>
      <c r="L26" s="27">
        <f>AVERAGE(2300)</f>
        <v>2300</v>
      </c>
      <c r="M26" s="46" t="s">
        <v>525</v>
      </c>
      <c r="N26" s="27">
        <f>AVERAGE(0)</f>
        <v>0</v>
      </c>
      <c r="O26" s="46" t="s">
        <v>20</v>
      </c>
      <c r="P26" s="27">
        <v>3350</v>
      </c>
      <c r="Q26" s="28" t="s">
        <v>541</v>
      </c>
      <c r="R26" s="37" t="s">
        <v>38</v>
      </c>
      <c r="S26" s="89" t="s">
        <v>725</v>
      </c>
      <c r="T26" s="28" t="s">
        <v>731</v>
      </c>
      <c r="U26" s="37" t="s">
        <v>31</v>
      </c>
    </row>
    <row r="27" spans="1:21" ht="12" customHeight="1">
      <c r="A27" s="62" t="s">
        <v>409</v>
      </c>
      <c r="B27" s="62" t="s">
        <v>571</v>
      </c>
      <c r="C27" s="16" t="s">
        <v>511</v>
      </c>
      <c r="D27" s="19">
        <v>4.5</v>
      </c>
      <c r="E27" s="35" t="s">
        <v>20</v>
      </c>
      <c r="F27" s="93" t="s">
        <v>408</v>
      </c>
      <c r="G27" s="48">
        <v>1.5</v>
      </c>
      <c r="H27" s="57">
        <v>0.8</v>
      </c>
      <c r="I27" s="16">
        <v>104</v>
      </c>
      <c r="J27" s="16" t="s">
        <v>20</v>
      </c>
      <c r="K27" s="35">
        <v>67</v>
      </c>
      <c r="L27" s="26">
        <f>AVERAGE(178,233,166,179)</f>
        <v>189</v>
      </c>
      <c r="M27" s="43" t="s">
        <v>601</v>
      </c>
      <c r="N27" s="26">
        <f>AVERAGE(249,159,233,225,199)</f>
        <v>213</v>
      </c>
      <c r="O27" s="43" t="s">
        <v>781</v>
      </c>
      <c r="P27" s="26">
        <v>325</v>
      </c>
      <c r="Q27" s="16" t="s">
        <v>781</v>
      </c>
      <c r="R27" s="35" t="s">
        <v>659</v>
      </c>
      <c r="S27" s="26"/>
      <c r="T27" s="16"/>
      <c r="U27" s="35"/>
    </row>
    <row r="28" spans="1:21" ht="12" customHeight="1">
      <c r="A28" s="64" t="s">
        <v>409</v>
      </c>
      <c r="B28" s="64" t="s">
        <v>509</v>
      </c>
      <c r="C28" s="28" t="s">
        <v>510</v>
      </c>
      <c r="D28" s="45">
        <v>4.5</v>
      </c>
      <c r="E28" s="37" t="s">
        <v>20</v>
      </c>
      <c r="F28" s="94" t="s">
        <v>408</v>
      </c>
      <c r="G28" s="60">
        <v>1.8</v>
      </c>
      <c r="H28" s="61">
        <v>0.875</v>
      </c>
      <c r="I28" s="28">
        <v>158</v>
      </c>
      <c r="J28" s="28">
        <v>74.5</v>
      </c>
      <c r="K28" s="37">
        <v>58</v>
      </c>
      <c r="L28" s="27">
        <f>AVERAGE(199,183,187,230)</f>
        <v>199.75</v>
      </c>
      <c r="M28" s="46" t="s">
        <v>667</v>
      </c>
      <c r="N28" s="27">
        <f>AVERAGE(230)</f>
        <v>230</v>
      </c>
      <c r="O28" s="46" t="s">
        <v>523</v>
      </c>
      <c r="P28" s="27">
        <v>250</v>
      </c>
      <c r="Q28" s="28" t="s">
        <v>731</v>
      </c>
      <c r="R28" s="37" t="s">
        <v>702</v>
      </c>
      <c r="S28" s="27">
        <v>320</v>
      </c>
      <c r="T28" s="28" t="s">
        <v>731</v>
      </c>
      <c r="U28" s="37" t="s">
        <v>33</v>
      </c>
    </row>
    <row r="29" spans="1:21" ht="12" customHeight="1">
      <c r="A29" s="64" t="s">
        <v>409</v>
      </c>
      <c r="B29" s="64" t="s">
        <v>555</v>
      </c>
      <c r="C29" s="28" t="s">
        <v>556</v>
      </c>
      <c r="D29" s="45" t="s">
        <v>556</v>
      </c>
      <c r="E29" s="37" t="s">
        <v>556</v>
      </c>
      <c r="F29" s="94" t="s">
        <v>408</v>
      </c>
      <c r="G29" s="60" t="s">
        <v>200</v>
      </c>
      <c r="H29" s="61">
        <v>0.33</v>
      </c>
      <c r="I29" s="28">
        <v>61</v>
      </c>
      <c r="J29" s="28">
        <v>73</v>
      </c>
      <c r="K29" s="37" t="s">
        <v>200</v>
      </c>
      <c r="L29" s="27">
        <f>AVERAGE(149)</f>
        <v>149</v>
      </c>
      <c r="M29" s="46" t="s">
        <v>552</v>
      </c>
      <c r="N29" s="27">
        <f>AVERAGE(169,198)</f>
        <v>183.5</v>
      </c>
      <c r="O29" s="46" t="s">
        <v>552</v>
      </c>
      <c r="P29" s="27" t="s">
        <v>20</v>
      </c>
      <c r="Q29" s="28" t="s">
        <v>20</v>
      </c>
      <c r="R29" s="37" t="s">
        <v>20</v>
      </c>
      <c r="S29" s="27">
        <v>160</v>
      </c>
      <c r="T29" s="28" t="s">
        <v>601</v>
      </c>
      <c r="U29" s="37" t="s">
        <v>41</v>
      </c>
    </row>
    <row r="30" spans="1:21" ht="12" customHeight="1">
      <c r="A30" s="64" t="s">
        <v>409</v>
      </c>
      <c r="B30" s="64" t="s">
        <v>687</v>
      </c>
      <c r="C30" s="28">
        <f>C25*2</f>
        <v>600</v>
      </c>
      <c r="D30" s="45">
        <f>D25*2</f>
        <v>5.6</v>
      </c>
      <c r="E30" s="37">
        <f>E25*2</f>
        <v>960</v>
      </c>
      <c r="F30" s="94" t="s">
        <v>408</v>
      </c>
      <c r="G30" s="60">
        <f>G25</f>
        <v>3.5</v>
      </c>
      <c r="H30" s="61">
        <f>H25+H29+0.1</f>
        <v>3.1300000000000003</v>
      </c>
      <c r="I30" s="28">
        <f>I25+I29+20</f>
        <v>318</v>
      </c>
      <c r="J30" s="28">
        <f>J25</f>
        <v>140</v>
      </c>
      <c r="K30" s="37" t="str">
        <f>K25</f>
        <v>43.5di</v>
      </c>
      <c r="L30" s="27">
        <f>L25+L29+75</f>
        <v>1524</v>
      </c>
      <c r="M30" s="46" t="s">
        <v>20</v>
      </c>
      <c r="N30" s="27">
        <f>N25+N29+75</f>
        <v>2466.8333333333335</v>
      </c>
      <c r="O30" s="46" t="s">
        <v>20</v>
      </c>
      <c r="P30" s="27">
        <f>P25+150+75</f>
        <v>2220</v>
      </c>
      <c r="Q30" s="28" t="s">
        <v>20</v>
      </c>
      <c r="R30" s="37" t="s">
        <v>20</v>
      </c>
      <c r="S30" s="27">
        <f>S25+S29+75</f>
        <v>2930</v>
      </c>
      <c r="T30" s="28" t="s">
        <v>20</v>
      </c>
      <c r="U30" s="37" t="s">
        <v>20</v>
      </c>
    </row>
    <row r="33" spans="1:21" s="41" customFormat="1" ht="12" customHeight="1">
      <c r="A33" s="143" t="s">
        <v>637</v>
      </c>
      <c r="B33" s="74"/>
      <c r="C33" s="30"/>
      <c r="D33" s="75"/>
      <c r="E33" s="30"/>
      <c r="F33" s="78"/>
      <c r="G33" s="76"/>
      <c r="H33" s="77"/>
      <c r="I33" s="30"/>
      <c r="J33" s="30"/>
      <c r="K33" s="30"/>
      <c r="L33" s="30"/>
      <c r="M33" s="30"/>
      <c r="N33" s="30"/>
      <c r="O33" s="30"/>
      <c r="P33" s="30"/>
      <c r="Q33" s="30"/>
      <c r="R33" s="30"/>
      <c r="S33" s="30"/>
      <c r="T33" s="30"/>
      <c r="U33" s="30"/>
    </row>
    <row r="34" spans="1:21" ht="12" customHeight="1">
      <c r="A34" s="81" t="s">
        <v>30</v>
      </c>
      <c r="B34" s="81" t="s">
        <v>415</v>
      </c>
      <c r="C34" s="15">
        <v>40</v>
      </c>
      <c r="D34" s="14" t="s">
        <v>199</v>
      </c>
      <c r="E34" s="35">
        <f>1.6*C34</f>
        <v>64</v>
      </c>
      <c r="F34" s="93" t="s">
        <v>411</v>
      </c>
      <c r="G34" s="52">
        <v>0.5</v>
      </c>
      <c r="H34" s="80">
        <v>0.7</v>
      </c>
      <c r="I34" s="15">
        <v>109</v>
      </c>
      <c r="J34" s="15">
        <v>104</v>
      </c>
      <c r="K34" s="35" t="s">
        <v>413</v>
      </c>
      <c r="L34" s="26">
        <f>AVERAGE(0)</f>
        <v>0</v>
      </c>
      <c r="M34" s="43" t="s">
        <v>20</v>
      </c>
      <c r="N34" s="26">
        <f>AVERAGE(0)</f>
        <v>0</v>
      </c>
      <c r="O34" s="43" t="s">
        <v>20</v>
      </c>
      <c r="P34" s="26" t="s">
        <v>20</v>
      </c>
      <c r="Q34" s="16" t="s">
        <v>20</v>
      </c>
      <c r="R34" s="35" t="s">
        <v>20</v>
      </c>
      <c r="S34" s="26" t="s">
        <v>20</v>
      </c>
      <c r="T34" s="16" t="s">
        <v>20</v>
      </c>
      <c r="U34" s="35" t="s">
        <v>20</v>
      </c>
    </row>
    <row r="35" spans="1:21" ht="12" customHeight="1">
      <c r="A35" s="81" t="s">
        <v>30</v>
      </c>
      <c r="B35" s="81" t="s">
        <v>414</v>
      </c>
      <c r="C35" s="15">
        <v>55</v>
      </c>
      <c r="D35" s="14" t="s">
        <v>201</v>
      </c>
      <c r="E35" s="35">
        <f>1.6*C35</f>
        <v>88</v>
      </c>
      <c r="F35" s="93" t="s">
        <v>411</v>
      </c>
      <c r="G35" s="52">
        <v>1.65</v>
      </c>
      <c r="H35" s="80">
        <v>0.5</v>
      </c>
      <c r="I35" s="15">
        <v>157</v>
      </c>
      <c r="J35" s="15">
        <v>104</v>
      </c>
      <c r="K35" s="35" t="s">
        <v>413</v>
      </c>
      <c r="L35" s="26">
        <f>AVERAGE(0)</f>
        <v>0</v>
      </c>
      <c r="M35" s="43" t="s">
        <v>20</v>
      </c>
      <c r="N35" s="26">
        <f>AVERAGE(0)</f>
        <v>0</v>
      </c>
      <c r="O35" s="43" t="s">
        <v>20</v>
      </c>
      <c r="P35" s="26" t="s">
        <v>20</v>
      </c>
      <c r="Q35" s="16" t="s">
        <v>20</v>
      </c>
      <c r="R35" s="35" t="s">
        <v>20</v>
      </c>
      <c r="S35" s="26" t="s">
        <v>20</v>
      </c>
      <c r="T35" s="16" t="s">
        <v>20</v>
      </c>
      <c r="U35" s="35" t="s">
        <v>20</v>
      </c>
    </row>
    <row r="36" spans="1:21" ht="12" customHeight="1">
      <c r="A36" s="64" t="s">
        <v>30</v>
      </c>
      <c r="B36" s="64" t="s">
        <v>416</v>
      </c>
      <c r="C36" s="28">
        <v>80</v>
      </c>
      <c r="D36" s="45">
        <v>2.8</v>
      </c>
      <c r="E36" s="37">
        <f>1.6*C36</f>
        <v>128</v>
      </c>
      <c r="F36" s="94" t="s">
        <v>411</v>
      </c>
      <c r="G36" s="60">
        <v>0.6</v>
      </c>
      <c r="H36" s="61">
        <v>0.5</v>
      </c>
      <c r="I36" s="28">
        <v>72</v>
      </c>
      <c r="J36" s="28">
        <v>84</v>
      </c>
      <c r="K36" s="37">
        <v>67</v>
      </c>
      <c r="L36" s="27">
        <f>AVERAGE(170)</f>
        <v>170</v>
      </c>
      <c r="M36" s="46" t="s">
        <v>379</v>
      </c>
      <c r="N36" s="27">
        <f>AVERAGE(649)</f>
        <v>649</v>
      </c>
      <c r="O36" s="46" t="s">
        <v>379</v>
      </c>
      <c r="P36" s="27" t="s">
        <v>20</v>
      </c>
      <c r="Q36" s="28" t="s">
        <v>20</v>
      </c>
      <c r="R36" s="37" t="s">
        <v>20</v>
      </c>
      <c r="S36" s="89">
        <v>800</v>
      </c>
      <c r="T36" s="28" t="s">
        <v>379</v>
      </c>
      <c r="U36" s="37" t="s">
        <v>38</v>
      </c>
    </row>
  </sheetData>
  <sheetProtection password="990B" sheet="1" objects="1" scenarios="1"/>
  <conditionalFormatting sqref="R7 R9:R30 R34:R36 U7 U9:U30 U34:U36">
    <cfRule type="cellIs" priority="1" dxfId="0" operator="lessThan" stopIfTrue="1">
      <formula>".07-00"</formula>
    </cfRule>
  </conditionalFormatting>
  <conditionalFormatting sqref="M33:M65536 O33:O65536 Q33:Q65536 T33:T65536 O1:O30 Q1:Q30 M1:M30 T1:T30">
    <cfRule type="cellIs" priority="2" dxfId="0" operator="lessThan" stopIfTrue="1">
      <formula>".08-09"</formula>
    </cfRule>
  </conditionalFormatting>
  <printOptions/>
  <pageMargins left="0.3" right="0" top="0.5" bottom="0" header="0.590551181102362" footer="0.511811023622047"/>
  <pageSetup horizontalDpi="600" verticalDpi="600" orientation="landscape" r:id="rId1"/>
  <headerFooter alignWithMargins="0">
    <oddHeader>&amp;R&amp;9(&amp;P of &amp;N)</oddHeader>
  </headerFooter>
  <ignoredErrors>
    <ignoredError sqref="D7:D11 D18:D21 D15 D34:D35 D13" numberStoredAsText="1"/>
  </ignoredErrors>
</worksheet>
</file>

<file path=xl/worksheets/sheet8.xml><?xml version="1.0" encoding="utf-8"?>
<worksheet xmlns="http://schemas.openxmlformats.org/spreadsheetml/2006/main" xmlns:r="http://schemas.openxmlformats.org/officeDocument/2006/relationships">
  <sheetPr codeName="Sheet14"/>
  <dimension ref="A1:Y34"/>
  <sheetViews>
    <sheetView workbookViewId="0" topLeftCell="A1">
      <selection activeCell="A1" sqref="A1"/>
    </sheetView>
  </sheetViews>
  <sheetFormatPr defaultColWidth="9.140625" defaultRowHeight="12" customHeight="1"/>
  <cols>
    <col min="1" max="1" width="10.57421875" style="20" customWidth="1"/>
    <col min="2" max="2" width="21.421875" style="65" customWidth="1"/>
    <col min="3" max="3" width="6.57421875" style="15" customWidth="1"/>
    <col min="4" max="4" width="5.421875" style="52" customWidth="1"/>
    <col min="5" max="5" width="5.8515625" style="15" customWidth="1"/>
    <col min="6" max="8" width="4.7109375" style="52" customWidth="1"/>
    <col min="9" max="11" width="4.7109375" style="15" customWidth="1"/>
    <col min="12" max="12" width="5.28125" style="15" customWidth="1"/>
    <col min="13" max="13" width="5.28125" style="18" customWidth="1"/>
    <col min="14" max="14" width="4.8515625" style="15" customWidth="1"/>
    <col min="15" max="15" width="5.28125" style="18" customWidth="1"/>
    <col min="16" max="16" width="5.28125" style="15" customWidth="1"/>
    <col min="17" max="17" width="5.28125" style="18" customWidth="1"/>
    <col min="18" max="18" width="5.7109375" style="18" customWidth="1"/>
    <col min="19" max="19" width="5.28125" style="16" customWidth="1"/>
    <col min="20" max="20" width="5.28125" style="18" customWidth="1"/>
    <col min="21" max="21" width="5.7109375" style="18" customWidth="1"/>
    <col min="22" max="22" width="2.28125" style="18" customWidth="1"/>
    <col min="23" max="23" width="7.7109375" style="81" customWidth="1"/>
    <col min="24" max="24" width="5.7109375" style="20" customWidth="1"/>
    <col min="25" max="25" width="6.7109375" style="20" customWidth="1"/>
    <col min="26" max="26" width="8.00390625" style="20" customWidth="1"/>
    <col min="27" max="16384" width="9.140625" style="20" customWidth="1"/>
  </cols>
  <sheetData>
    <row r="1" spans="1:23" ht="15" customHeight="1">
      <c r="A1" s="10" t="str">
        <f>i!A1</f>
        <v>Lens$db: Lens Price database</v>
      </c>
      <c r="B1" s="49"/>
      <c r="C1" s="50"/>
      <c r="D1" s="164"/>
      <c r="E1" s="50"/>
      <c r="F1" s="33"/>
      <c r="G1" s="33"/>
      <c r="H1" s="66"/>
      <c r="I1" s="15" t="s">
        <v>20</v>
      </c>
      <c r="J1" s="49"/>
      <c r="K1" s="15" t="s">
        <v>20</v>
      </c>
      <c r="P1" s="16" t="s">
        <v>20</v>
      </c>
      <c r="Q1" s="16" t="s">
        <v>20</v>
      </c>
      <c r="R1" s="51" t="str">
        <f>i!B3</f>
        <v>.2010-06-01</v>
      </c>
      <c r="S1" s="51"/>
      <c r="T1" s="16"/>
      <c r="U1" s="51" t="s">
        <v>20</v>
      </c>
      <c r="W1" s="62"/>
    </row>
    <row r="2" spans="1:23" ht="12" customHeight="1">
      <c r="A2" s="21"/>
      <c r="B2" s="49"/>
      <c r="C2" s="50"/>
      <c r="D2" s="164"/>
      <c r="E2" s="50"/>
      <c r="L2" s="51" t="s">
        <v>20</v>
      </c>
      <c r="M2" s="51" t="s">
        <v>20</v>
      </c>
      <c r="N2" s="28"/>
      <c r="O2" s="28" t="s">
        <v>20</v>
      </c>
      <c r="P2" s="28" t="s">
        <v>20</v>
      </c>
      <c r="Q2" s="28" t="s">
        <v>20</v>
      </c>
      <c r="R2" s="51" t="s">
        <v>20</v>
      </c>
      <c r="S2" s="28" t="s">
        <v>20</v>
      </c>
      <c r="T2" s="28" t="s">
        <v>20</v>
      </c>
      <c r="U2" s="51" t="s">
        <v>20</v>
      </c>
      <c r="W2" s="62"/>
    </row>
    <row r="3" spans="2:23" s="33" customFormat="1" ht="12" customHeight="1">
      <c r="B3" s="49"/>
      <c r="C3" s="53"/>
      <c r="D3" s="82"/>
      <c r="E3" s="53"/>
      <c r="F3" s="54"/>
      <c r="G3" s="54"/>
      <c r="H3" s="67"/>
      <c r="I3" s="28"/>
      <c r="J3" s="28"/>
      <c r="K3" s="28"/>
      <c r="L3" s="55"/>
      <c r="M3" s="30"/>
      <c r="N3" s="31" t="s">
        <v>21</v>
      </c>
      <c r="O3" s="30"/>
      <c r="P3" s="55"/>
      <c r="Q3" s="30"/>
      <c r="R3" s="31" t="s">
        <v>22</v>
      </c>
      <c r="S3" s="30"/>
      <c r="T3" s="30"/>
      <c r="U3" s="157"/>
      <c r="V3" s="13"/>
      <c r="W3" s="21"/>
    </row>
    <row r="4" spans="1:23" s="41" customFormat="1" ht="12" customHeight="1">
      <c r="A4" s="33" t="s">
        <v>239</v>
      </c>
      <c r="B4" s="11"/>
      <c r="C4" s="16" t="s">
        <v>6</v>
      </c>
      <c r="D4" s="48" t="s">
        <v>13</v>
      </c>
      <c r="E4" s="16" t="s">
        <v>642</v>
      </c>
      <c r="F4" s="56" t="s">
        <v>15</v>
      </c>
      <c r="G4" s="56" t="s">
        <v>519</v>
      </c>
      <c r="H4" s="48" t="s">
        <v>7</v>
      </c>
      <c r="I4" s="16" t="s">
        <v>587</v>
      </c>
      <c r="J4" s="16" t="s">
        <v>588</v>
      </c>
      <c r="K4" s="35" t="s">
        <v>589</v>
      </c>
      <c r="L4" s="36" t="s">
        <v>23</v>
      </c>
      <c r="M4" s="37"/>
      <c r="N4" s="38" t="s">
        <v>24</v>
      </c>
      <c r="O4" s="28"/>
      <c r="P4" s="58"/>
      <c r="Q4" s="39" t="s">
        <v>9</v>
      </c>
      <c r="R4" s="37"/>
      <c r="S4" s="59"/>
      <c r="T4" s="39" t="s">
        <v>11</v>
      </c>
      <c r="U4" s="37"/>
      <c r="V4" s="19"/>
      <c r="W4" s="128"/>
    </row>
    <row r="5" spans="1:23" s="41" customFormat="1" ht="12" customHeight="1">
      <c r="A5" s="42" t="s">
        <v>20</v>
      </c>
      <c r="B5" s="23" t="s">
        <v>20</v>
      </c>
      <c r="C5" s="28" t="s">
        <v>25</v>
      </c>
      <c r="D5" s="67" t="s">
        <v>20</v>
      </c>
      <c r="E5" s="28" t="s">
        <v>20</v>
      </c>
      <c r="F5" s="60" t="s">
        <v>20</v>
      </c>
      <c r="G5" s="60" t="s">
        <v>43</v>
      </c>
      <c r="H5" s="67" t="s">
        <v>26</v>
      </c>
      <c r="I5" s="28" t="s">
        <v>25</v>
      </c>
      <c r="J5" s="28" t="s">
        <v>25</v>
      </c>
      <c r="K5" s="37" t="s">
        <v>25</v>
      </c>
      <c r="L5" s="27" t="s">
        <v>27</v>
      </c>
      <c r="M5" s="37" t="s">
        <v>28</v>
      </c>
      <c r="N5" s="28" t="s">
        <v>27</v>
      </c>
      <c r="O5" s="37" t="s">
        <v>28</v>
      </c>
      <c r="P5" s="28" t="s">
        <v>27</v>
      </c>
      <c r="Q5" s="28" t="s">
        <v>28</v>
      </c>
      <c r="R5" s="32" t="s">
        <v>29</v>
      </c>
      <c r="S5" s="28" t="s">
        <v>27</v>
      </c>
      <c r="T5" s="28" t="s">
        <v>28</v>
      </c>
      <c r="U5" s="32" t="s">
        <v>29</v>
      </c>
      <c r="V5" s="19"/>
      <c r="W5" s="128"/>
    </row>
    <row r="6" spans="2:23" s="41" customFormat="1" ht="12" customHeight="1">
      <c r="B6" s="11"/>
      <c r="C6" s="16"/>
      <c r="D6" s="48"/>
      <c r="E6" s="16"/>
      <c r="F6" s="48"/>
      <c r="G6" s="48"/>
      <c r="H6" s="48"/>
      <c r="I6" s="16"/>
      <c r="J6" s="16"/>
      <c r="K6" s="16"/>
      <c r="L6" s="16"/>
      <c r="M6" s="16"/>
      <c r="N6" s="16"/>
      <c r="O6" s="16"/>
      <c r="P6" s="16"/>
      <c r="Q6" s="16"/>
      <c r="R6" s="16"/>
      <c r="S6" s="16"/>
      <c r="T6" s="16"/>
      <c r="U6" s="16"/>
      <c r="V6" s="19"/>
      <c r="W6" s="128"/>
    </row>
    <row r="7" spans="1:23" ht="12" customHeight="1">
      <c r="A7" s="62" t="str">
        <f>LNOP!A73</f>
        <v>Olympus</v>
      </c>
      <c r="B7" s="11" t="str">
        <f>LNOP!B73</f>
        <v>G.Zuiko (SC)</v>
      </c>
      <c r="C7" s="16">
        <f>LNOP!C73</f>
        <v>21</v>
      </c>
      <c r="D7" s="48">
        <f>LNOP!D73</f>
        <v>3.5</v>
      </c>
      <c r="E7" s="16">
        <f>LNOP!E73</f>
        <v>33.6</v>
      </c>
      <c r="F7" s="63" t="str">
        <f>LNOP!F73</f>
        <v>OM</v>
      </c>
      <c r="G7" s="63">
        <f>LNOP!G73</f>
        <v>0.2</v>
      </c>
      <c r="H7" s="48">
        <f>LNOP!H73</f>
        <v>0.18</v>
      </c>
      <c r="I7" s="16">
        <f>LNOP!I73</f>
        <v>31</v>
      </c>
      <c r="J7" s="16">
        <f>LNOP!J73</f>
        <v>59</v>
      </c>
      <c r="K7" s="16">
        <f>LNOP!K73</f>
        <v>49</v>
      </c>
      <c r="L7" s="26">
        <f>LNOP!L73</f>
        <v>316.6</v>
      </c>
      <c r="M7" s="35" t="str">
        <f>LNOP!M73</f>
        <v>.09-07</v>
      </c>
      <c r="N7" s="26">
        <f>LNOP!N73</f>
        <v>474.0833333333333</v>
      </c>
      <c r="O7" s="35" t="str">
        <f>LNOP!O73</f>
        <v>.10-05</v>
      </c>
      <c r="P7" s="16">
        <f>LNOP!P73</f>
        <v>295</v>
      </c>
      <c r="Q7" s="16" t="str">
        <f>LNOP!Q73</f>
        <v>.10-05</v>
      </c>
      <c r="R7" s="35" t="str">
        <f>LNOP!R73</f>
        <v>igor</v>
      </c>
      <c r="S7" s="16">
        <f>LNOP!S73</f>
        <v>440</v>
      </c>
      <c r="T7" s="16" t="str">
        <f>LNOP!T73</f>
        <v>.10-05</v>
      </c>
      <c r="U7" s="35" t="str">
        <f>LNOP!U73</f>
        <v>b&amp;h</v>
      </c>
      <c r="V7" s="20"/>
      <c r="W7" s="155"/>
    </row>
    <row r="8" spans="1:23" ht="12" customHeight="1">
      <c r="A8" s="64" t="str">
        <f>'CZ.V'!A78</f>
        <v>Voigtlander</v>
      </c>
      <c r="B8" s="23" t="str">
        <f>'CZ.V'!B78</f>
        <v>20/3.5 Color Skopar Asp SL II </v>
      </c>
      <c r="C8" s="28">
        <f>'CZ.V'!C78</f>
        <v>20</v>
      </c>
      <c r="D8" s="67">
        <f>'CZ.V'!D78</f>
        <v>3.5</v>
      </c>
      <c r="E8" s="28">
        <f>'CZ.V'!E78</f>
        <v>32</v>
      </c>
      <c r="F8" s="60" t="str">
        <f>'CZ.V'!F78</f>
        <v>F</v>
      </c>
      <c r="G8" s="60">
        <f>'CZ.V'!G78</f>
        <v>0.2</v>
      </c>
      <c r="H8" s="67">
        <f>'CZ.V'!H78</f>
        <v>0.2</v>
      </c>
      <c r="I8" s="28">
        <f>'CZ.V'!I78</f>
        <v>28.8</v>
      </c>
      <c r="J8" s="28">
        <f>'CZ.V'!J78</f>
        <v>63</v>
      </c>
      <c r="K8" s="28">
        <f>'CZ.V'!K78</f>
        <v>52</v>
      </c>
      <c r="L8" s="27">
        <f>'CZ.V'!L78</f>
        <v>344</v>
      </c>
      <c r="M8" s="25" t="str">
        <f>'CZ.V'!M78</f>
        <v>.10-05</v>
      </c>
      <c r="N8" s="27">
        <f>'CZ.V'!N78</f>
        <v>434.2857142857143</v>
      </c>
      <c r="O8" s="37" t="str">
        <f>'CZ.V'!O78</f>
        <v>.10-05</v>
      </c>
      <c r="P8" s="28" t="str">
        <f>'CZ.V'!P78</f>
        <v> </v>
      </c>
      <c r="Q8" s="28" t="str">
        <f>'CZ.V'!Q78</f>
        <v> </v>
      </c>
      <c r="R8" s="37" t="str">
        <f>'CZ.V'!R78</f>
        <v> </v>
      </c>
      <c r="S8" s="28">
        <f>'CZ.V'!S78</f>
        <v>426</v>
      </c>
      <c r="T8" s="28" t="str">
        <f>'CZ.V'!T78</f>
        <v>.09-09</v>
      </c>
      <c r="U8" s="37" t="str">
        <f>'CZ.V'!U78</f>
        <v>camtec</v>
      </c>
      <c r="V8" s="20"/>
      <c r="W8" s="155"/>
    </row>
    <row r="9" spans="2:23" s="41" customFormat="1" ht="12" customHeight="1">
      <c r="B9" s="11"/>
      <c r="C9" s="16"/>
      <c r="D9" s="48"/>
      <c r="E9" s="16"/>
      <c r="F9" s="48"/>
      <c r="G9" s="48"/>
      <c r="H9" s="48"/>
      <c r="I9" s="16"/>
      <c r="J9" s="16"/>
      <c r="K9" s="16"/>
      <c r="L9" s="16"/>
      <c r="M9" s="16"/>
      <c r="N9" s="16"/>
      <c r="O9" s="16"/>
      <c r="P9" s="16"/>
      <c r="Q9" s="16"/>
      <c r="R9" s="16"/>
      <c r="S9" s="16"/>
      <c r="T9" s="16"/>
      <c r="U9" s="16"/>
      <c r="V9" s="19"/>
      <c r="W9" s="128"/>
    </row>
    <row r="10" spans="1:23" ht="12" customHeight="1">
      <c r="A10" s="62" t="str">
        <f>LNOP!A36</f>
        <v>Leica</v>
      </c>
      <c r="B10" s="11" t="str">
        <f>LNOP!B36</f>
        <v>Apo-Telyt-R 180/3.4 E60</v>
      </c>
      <c r="C10" s="16">
        <f>LNOP!C36</f>
        <v>180</v>
      </c>
      <c r="D10" s="48">
        <f>LNOP!D36</f>
        <v>3.4</v>
      </c>
      <c r="E10" s="16">
        <f>LNOP!E36</f>
        <v>288</v>
      </c>
      <c r="F10" s="63" t="str">
        <f>LNOP!F36</f>
        <v>LR</v>
      </c>
      <c r="G10" s="63">
        <f>LNOP!G36</f>
        <v>2.5</v>
      </c>
      <c r="H10" s="48">
        <f>LNOP!H36</f>
        <v>0.75</v>
      </c>
      <c r="I10" s="16">
        <f>LNOP!I36</f>
        <v>133</v>
      </c>
      <c r="J10" s="16">
        <f>LNOP!J36</f>
        <v>67</v>
      </c>
      <c r="K10" s="16">
        <f>LNOP!K36</f>
        <v>60</v>
      </c>
      <c r="L10" s="26">
        <f>LNOP!L36</f>
        <v>745.875</v>
      </c>
      <c r="M10" s="35" t="str">
        <f>LNOP!M36</f>
        <v>.10-05</v>
      </c>
      <c r="N10" s="26">
        <f>LNOP!N36</f>
        <v>917.5</v>
      </c>
      <c r="O10" s="35" t="str">
        <f>LNOP!O36</f>
        <v>.10-05</v>
      </c>
      <c r="P10" s="16">
        <f>LNOP!P36</f>
        <v>625</v>
      </c>
      <c r="Q10" s="16" t="str">
        <f>LNOP!Q36</f>
        <v>.10-05</v>
      </c>
      <c r="R10" s="35" t="str">
        <f>LNOP!R36</f>
        <v>v.v</v>
      </c>
      <c r="S10" s="16">
        <f>LNOP!S36</f>
        <v>895</v>
      </c>
      <c r="T10" s="16" t="str">
        <f>LNOP!T36</f>
        <v>.10-02</v>
      </c>
      <c r="U10" s="35" t="str">
        <f>LNOP!U36</f>
        <v>kev</v>
      </c>
      <c r="V10" s="20"/>
      <c r="W10" s="155"/>
    </row>
    <row r="11" spans="1:23" ht="12" customHeight="1">
      <c r="A11" s="64" t="str">
        <f>'M645'!A24</f>
        <v>Mamiya</v>
      </c>
      <c r="B11" s="23" t="str">
        <f>'M645'!B24</f>
        <v>Mamiya A 200/2.8 APO</v>
      </c>
      <c r="C11" s="28">
        <f>'M645'!C24</f>
        <v>200</v>
      </c>
      <c r="D11" s="67" t="str">
        <f>'M645'!D24</f>
        <v>2.8</v>
      </c>
      <c r="E11" s="28">
        <f>'M645'!E24</f>
        <v>320</v>
      </c>
      <c r="F11" s="60" t="str">
        <f>'M645'!F24</f>
        <v>M645</v>
      </c>
      <c r="G11" s="60">
        <f>'M645'!G24</f>
        <v>2.5</v>
      </c>
      <c r="H11" s="67">
        <f>'M645'!H24</f>
        <v>1.1</v>
      </c>
      <c r="I11" s="28">
        <f>'M645'!I24</f>
        <v>143.5</v>
      </c>
      <c r="J11" s="28">
        <f>'M645'!J24</f>
        <v>91</v>
      </c>
      <c r="K11" s="28">
        <f>'M645'!K24</f>
        <v>77</v>
      </c>
      <c r="L11" s="27">
        <f>'M645'!L24</f>
        <v>496.55555555555554</v>
      </c>
      <c r="M11" s="25" t="str">
        <f>'M645'!M24</f>
        <v>.10-02</v>
      </c>
      <c r="N11" s="27">
        <f>'M645'!N24</f>
        <v>617.4</v>
      </c>
      <c r="O11" s="37" t="str">
        <f>'M645'!O24</f>
        <v>.09-10</v>
      </c>
      <c r="P11" s="28">
        <f>'M645'!P24</f>
        <v>645</v>
      </c>
      <c r="Q11" s="28" t="str">
        <f>'M645'!Q24</f>
        <v>.10-02</v>
      </c>
      <c r="R11" s="37" t="str">
        <f>'M645'!R24</f>
        <v>keh</v>
      </c>
      <c r="S11" s="28">
        <f>'M645'!S24</f>
        <v>725</v>
      </c>
      <c r="T11" s="28" t="str">
        <f>'M645'!T24</f>
        <v>.09-10</v>
      </c>
      <c r="U11" s="37" t="str">
        <f>'M645'!U24</f>
        <v>keh</v>
      </c>
      <c r="V11" s="20"/>
      <c r="W11" s="155"/>
    </row>
    <row r="12" spans="1:23" ht="12" customHeight="1">
      <c r="A12" s="62" t="str">
        <f>EFp!A41</f>
        <v>Canon</v>
      </c>
      <c r="B12" s="11" t="str">
        <f>EFp!B41</f>
        <v>EF 200/1.8 L USM</v>
      </c>
      <c r="C12" s="16">
        <f>EFp!C41</f>
        <v>200</v>
      </c>
      <c r="D12" s="48">
        <f>EFp!D41</f>
        <v>1.8</v>
      </c>
      <c r="E12" s="16">
        <f>EFp!E41</f>
        <v>320</v>
      </c>
      <c r="F12" s="63" t="str">
        <f>EFp!F41</f>
        <v>EF</v>
      </c>
      <c r="G12" s="63">
        <f>EFp!G41</f>
        <v>2.5</v>
      </c>
      <c r="H12" s="48">
        <f>EFp!H41</f>
        <v>3</v>
      </c>
      <c r="I12" s="16">
        <f>EFp!I41</f>
        <v>208</v>
      </c>
      <c r="J12" s="16">
        <f>EFp!J41</f>
        <v>129.5</v>
      </c>
      <c r="K12" s="16" t="str">
        <f>EFp!K41</f>
        <v>48 di</v>
      </c>
      <c r="L12" s="26">
        <f>EFp!L41</f>
        <v>3291</v>
      </c>
      <c r="M12" s="35" t="str">
        <f>EFp!M41</f>
        <v>.10-05</v>
      </c>
      <c r="N12" s="26">
        <f>EFp!N41</f>
        <v>3906.8571428571427</v>
      </c>
      <c r="O12" s="35" t="str">
        <f>EFp!O41</f>
        <v>.10-05</v>
      </c>
      <c r="P12" s="16">
        <f>EFp!P41</f>
        <v>4460</v>
      </c>
      <c r="Q12" s="16" t="str">
        <f>EFp!Q41</f>
        <v>.09-11</v>
      </c>
      <c r="R12" s="35" t="str">
        <f>EFp!R41</f>
        <v>keh</v>
      </c>
      <c r="S12" s="16">
        <f>EFp!S41</f>
        <v>5600</v>
      </c>
      <c r="T12" s="16" t="str">
        <f>EFp!T41</f>
        <v>.08-05</v>
      </c>
      <c r="U12" s="35" t="str">
        <f>EFp!U41</f>
        <v>keh</v>
      </c>
      <c r="V12" s="20"/>
      <c r="W12" s="155"/>
    </row>
    <row r="13" spans="1:23" ht="12" customHeight="1">
      <c r="A13" s="62" t="str">
        <f>EFp!A42</f>
        <v>Canon</v>
      </c>
      <c r="B13" s="11" t="str">
        <f>EFp!B42</f>
        <v>EF 200/2 L IS USM          </v>
      </c>
      <c r="C13" s="16">
        <f>EFp!C42</f>
        <v>200</v>
      </c>
      <c r="D13" s="48">
        <f>EFp!D42</f>
        <v>2</v>
      </c>
      <c r="E13" s="16">
        <f>EFp!E42</f>
        <v>320</v>
      </c>
      <c r="F13" s="63" t="str">
        <f>EFp!F42</f>
        <v>EF</v>
      </c>
      <c r="G13" s="63">
        <f>EFp!G42</f>
        <v>1.9</v>
      </c>
      <c r="H13" s="48">
        <f>EFp!H42</f>
        <v>2.5</v>
      </c>
      <c r="I13" s="16">
        <f>EFp!I42</f>
        <v>208</v>
      </c>
      <c r="J13" s="16">
        <f>EFp!J42</f>
        <v>128</v>
      </c>
      <c r="K13" s="16" t="str">
        <f>EFp!K42</f>
        <v>52 di</v>
      </c>
      <c r="L13" s="26">
        <f>EFp!L42</f>
        <v>4312.5</v>
      </c>
      <c r="M13" s="35" t="str">
        <f>EFp!M42</f>
        <v>.10-05</v>
      </c>
      <c r="N13" s="26">
        <f>EFp!N42</f>
        <v>5266</v>
      </c>
      <c r="O13" s="35" t="str">
        <f>EFp!O42</f>
        <v>.09-10</v>
      </c>
      <c r="P13" s="16" t="str">
        <f>EFp!P42</f>
        <v> </v>
      </c>
      <c r="Q13" s="16" t="str">
        <f>EFp!Q42</f>
        <v> </v>
      </c>
      <c r="R13" s="35" t="str">
        <f>EFp!R42</f>
        <v> </v>
      </c>
      <c r="S13" s="16">
        <f>EFp!S42</f>
        <v>5000</v>
      </c>
      <c r="T13" s="16" t="str">
        <f>EFp!T42</f>
        <v>.10-05</v>
      </c>
      <c r="U13" s="35" t="str">
        <f>EFp!U42</f>
        <v>keh</v>
      </c>
      <c r="V13" s="20"/>
      <c r="W13" s="155"/>
    </row>
    <row r="14" spans="1:23" ht="12" customHeight="1">
      <c r="A14" s="62" t="str">
        <f>'CZ.V'!A46</f>
        <v>Carl Zeiss</v>
      </c>
      <c r="B14" s="11" t="str">
        <f>'CZ.V'!B46</f>
        <v>Aposonnar T* 200/2</v>
      </c>
      <c r="C14" s="16">
        <f>'CZ.V'!C46</f>
        <v>200</v>
      </c>
      <c r="D14" s="48">
        <f>'CZ.V'!D46</f>
        <v>2</v>
      </c>
      <c r="E14" s="16">
        <f>'CZ.V'!E46</f>
        <v>320</v>
      </c>
      <c r="F14" s="63" t="str">
        <f>'CZ.V'!F46</f>
        <v>CY</v>
      </c>
      <c r="G14" s="63">
        <f>'CZ.V'!G46</f>
        <v>1.8</v>
      </c>
      <c r="H14" s="48">
        <f>'CZ.V'!H46</f>
        <v>2.6</v>
      </c>
      <c r="I14" s="16">
        <f>'CZ.V'!I46</f>
        <v>182</v>
      </c>
      <c r="J14" s="16">
        <f>'CZ.V'!J46</f>
        <v>123</v>
      </c>
      <c r="K14" s="16">
        <f>'CZ.V'!K46</f>
        <v>111</v>
      </c>
      <c r="L14" s="26">
        <f>'CZ.V'!L46</f>
        <v>3299</v>
      </c>
      <c r="M14" s="35" t="str">
        <f>'CZ.V'!M46</f>
        <v>.07-07</v>
      </c>
      <c r="N14" s="26">
        <f>'CZ.V'!N46</f>
        <v>4987</v>
      </c>
      <c r="O14" s="35" t="str">
        <f>'CZ.V'!O46</f>
        <v>.09-05</v>
      </c>
      <c r="P14" s="16" t="str">
        <f>'CZ.V'!P46</f>
        <v> </v>
      </c>
      <c r="Q14" s="16" t="str">
        <f>'CZ.V'!Q46</f>
        <v> </v>
      </c>
      <c r="R14" s="35" t="str">
        <f>'CZ.V'!R46</f>
        <v> </v>
      </c>
      <c r="S14" s="16" t="str">
        <f>'CZ.V'!S46</f>
        <v> </v>
      </c>
      <c r="T14" s="16" t="str">
        <f>'CZ.V'!T46</f>
        <v> </v>
      </c>
      <c r="U14" s="35" t="str">
        <f>'CZ.V'!U46</f>
        <v> </v>
      </c>
      <c r="V14" s="20"/>
      <c r="W14" s="155"/>
    </row>
    <row r="15" spans="1:23" ht="12" customHeight="1">
      <c r="A15" s="64" t="str">
        <f>LNOP!A33</f>
        <v>Leica</v>
      </c>
      <c r="B15" s="23" t="str">
        <f>LNOP!B33</f>
        <v>Apo-Summicron-R 180/2</v>
      </c>
      <c r="C15" s="28">
        <f>LNOP!C33</f>
        <v>180</v>
      </c>
      <c r="D15" s="67">
        <f>LNOP!D33</f>
        <v>2</v>
      </c>
      <c r="E15" s="28">
        <f>LNOP!E33</f>
        <v>288</v>
      </c>
      <c r="F15" s="60" t="str">
        <f>LNOP!F33</f>
        <v>LR</v>
      </c>
      <c r="G15" s="60">
        <f>LNOP!G33</f>
        <v>1.5</v>
      </c>
      <c r="H15" s="67">
        <f>LNOP!H33</f>
        <v>2.5</v>
      </c>
      <c r="I15" s="28">
        <f>LNOP!I33</f>
        <v>175</v>
      </c>
      <c r="J15" s="28">
        <f>LNOP!J33</f>
        <v>117</v>
      </c>
      <c r="K15" s="28">
        <f>LNOP!K33</f>
        <v>100</v>
      </c>
      <c r="L15" s="27">
        <f>LNOP!L33</f>
        <v>3579.3333333333335</v>
      </c>
      <c r="M15" s="25" t="str">
        <f>LNOP!M33</f>
        <v>.10-05</v>
      </c>
      <c r="N15" s="27">
        <f>LNOP!N33</f>
        <v>4401</v>
      </c>
      <c r="O15" s="37" t="str">
        <f>LNOP!O33</f>
        <v>.10-02</v>
      </c>
      <c r="P15" s="28">
        <f>LNOP!P33</f>
        <v>3200</v>
      </c>
      <c r="Q15" s="28" t="str">
        <f>LNOP!Q33</f>
        <v>.10-02</v>
      </c>
      <c r="R15" s="37" t="str">
        <f>LNOP!R33</f>
        <v>kev</v>
      </c>
      <c r="S15" s="28">
        <f>LNOP!S33</f>
        <v>4595</v>
      </c>
      <c r="T15" s="28" t="str">
        <f>LNOP!T33</f>
        <v>.10-05</v>
      </c>
      <c r="U15" s="37" t="str">
        <f>LNOP!U33</f>
        <v>camW</v>
      </c>
      <c r="V15" s="20"/>
      <c r="W15" s="155"/>
    </row>
    <row r="16" spans="1:23" ht="12" customHeight="1">
      <c r="A16" s="62"/>
      <c r="B16" s="11"/>
      <c r="C16" s="16"/>
      <c r="D16" s="48"/>
      <c r="E16" s="16"/>
      <c r="F16" s="63"/>
      <c r="G16" s="63"/>
      <c r="H16" s="48"/>
      <c r="I16" s="16"/>
      <c r="J16" s="16"/>
      <c r="K16" s="16"/>
      <c r="L16" s="26"/>
      <c r="M16" s="40"/>
      <c r="N16" s="26"/>
      <c r="O16" s="35"/>
      <c r="P16" s="16"/>
      <c r="Q16" s="16"/>
      <c r="R16" s="35"/>
      <c r="T16" s="16"/>
      <c r="U16" s="35"/>
      <c r="V16" s="20"/>
      <c r="W16" s="155"/>
    </row>
    <row r="17" spans="1:23" ht="12" customHeight="1">
      <c r="A17" s="62" t="str">
        <f>A12</f>
        <v>Canon</v>
      </c>
      <c r="B17" s="11" t="str">
        <f>CONCATENATE(B12," + 1.4x")</f>
        <v>EF 200/1.8 L USM + 1.4x</v>
      </c>
      <c r="C17" s="16">
        <f>C12*1.4</f>
        <v>280</v>
      </c>
      <c r="D17" s="48">
        <f>D12*1.4</f>
        <v>2.52</v>
      </c>
      <c r="E17" s="16">
        <f>E12*1.4</f>
        <v>448</v>
      </c>
      <c r="F17" s="63" t="str">
        <f>F12</f>
        <v>EF</v>
      </c>
      <c r="G17" s="63">
        <f>G12</f>
        <v>2.5</v>
      </c>
      <c r="H17" s="48">
        <f>H12+EFp!H62</f>
        <v>3.22</v>
      </c>
      <c r="I17" s="16">
        <f>I12+EFp!I61</f>
        <v>235.3</v>
      </c>
      <c r="J17" s="16">
        <f aca="true" t="shared" si="0" ref="J17:U17">J12</f>
        <v>129.5</v>
      </c>
      <c r="K17" s="16" t="str">
        <f t="shared" si="0"/>
        <v>48 di</v>
      </c>
      <c r="L17" s="26">
        <f t="shared" si="0"/>
        <v>3291</v>
      </c>
      <c r="M17" s="35" t="str">
        <f t="shared" si="0"/>
        <v>.10-05</v>
      </c>
      <c r="N17" s="26">
        <f t="shared" si="0"/>
        <v>3906.8571428571427</v>
      </c>
      <c r="O17" s="35" t="str">
        <f t="shared" si="0"/>
        <v>.10-05</v>
      </c>
      <c r="P17" s="16">
        <f t="shared" si="0"/>
        <v>4460</v>
      </c>
      <c r="Q17" s="16" t="str">
        <f t="shared" si="0"/>
        <v>.09-11</v>
      </c>
      <c r="R17" s="35" t="str">
        <f t="shared" si="0"/>
        <v>keh</v>
      </c>
      <c r="S17" s="16">
        <f t="shared" si="0"/>
        <v>5600</v>
      </c>
      <c r="T17" s="16" t="str">
        <f t="shared" si="0"/>
        <v>.08-05</v>
      </c>
      <c r="U17" s="35" t="str">
        <f t="shared" si="0"/>
        <v>keh</v>
      </c>
      <c r="V17" s="20"/>
      <c r="W17" s="155"/>
    </row>
    <row r="18" spans="1:23" ht="12" customHeight="1">
      <c r="A18" s="62" t="str">
        <f>EFp!A46</f>
        <v>Canon</v>
      </c>
      <c r="B18" s="11" t="str">
        <f>EFp!B46</f>
        <v>EF 300/2.8 L IS USM      </v>
      </c>
      <c r="C18" s="16">
        <f>EFp!C46</f>
        <v>300</v>
      </c>
      <c r="D18" s="48">
        <f>EFp!D46</f>
        <v>2.8</v>
      </c>
      <c r="E18" s="16">
        <f>EFp!E46</f>
        <v>480</v>
      </c>
      <c r="F18" s="63" t="str">
        <f>EFp!F46</f>
        <v>EF</v>
      </c>
      <c r="G18" s="63">
        <f>EFp!G46</f>
        <v>2.5</v>
      </c>
      <c r="H18" s="48">
        <f>EFp!H46</f>
        <v>2.55</v>
      </c>
      <c r="I18" s="16">
        <f>EFp!I46</f>
        <v>252</v>
      </c>
      <c r="J18" s="16">
        <f>EFp!J46</f>
        <v>128</v>
      </c>
      <c r="K18" s="16" t="str">
        <f>EFp!K46</f>
        <v>52 di</v>
      </c>
      <c r="L18" s="26">
        <f>EFp!L46</f>
        <v>3056.8888888888887</v>
      </c>
      <c r="M18" s="35" t="str">
        <f>EFp!M46</f>
        <v>.10-05</v>
      </c>
      <c r="N18" s="26">
        <f>EFp!N46</f>
        <v>3647.25</v>
      </c>
      <c r="O18" s="35" t="str">
        <f>EFp!O46</f>
        <v>.10-05</v>
      </c>
      <c r="P18" s="16">
        <f>EFp!P46</f>
        <v>3650</v>
      </c>
      <c r="Q18" s="16" t="str">
        <f>EFp!Q46</f>
        <v>.10-05</v>
      </c>
      <c r="R18" s="35" t="str">
        <f>EFp!R46</f>
        <v>keh</v>
      </c>
      <c r="S18" s="16">
        <f>EFp!S46</f>
        <v>4300</v>
      </c>
      <c r="T18" s="16" t="str">
        <f>EFp!T46</f>
        <v>.09-07</v>
      </c>
      <c r="U18" s="35" t="str">
        <f>EFp!U46</f>
        <v>keh</v>
      </c>
      <c r="V18" s="20"/>
      <c r="W18" s="155"/>
    </row>
    <row r="19" spans="1:23" ht="12" customHeight="1">
      <c r="A19" s="62" t="str">
        <f>'M645'!A25</f>
        <v>Mamiya</v>
      </c>
      <c r="B19" s="11" t="str">
        <f>'M645'!B25</f>
        <v>Mamiya A 300/2.8 APO</v>
      </c>
      <c r="C19" s="16">
        <f>'M645'!C25</f>
        <v>300</v>
      </c>
      <c r="D19" s="48" t="str">
        <f>'M645'!D25</f>
        <v>2.8</v>
      </c>
      <c r="E19" s="16">
        <f>'M645'!E25</f>
        <v>480</v>
      </c>
      <c r="F19" s="63" t="str">
        <f>'M645'!F25</f>
        <v>M645</v>
      </c>
      <c r="G19" s="63">
        <f>'M645'!G25</f>
        <v>3.5</v>
      </c>
      <c r="H19" s="48">
        <f>'M645'!H25</f>
        <v>2.7</v>
      </c>
      <c r="I19" s="16">
        <f>'M645'!I25</f>
        <v>237</v>
      </c>
      <c r="J19" s="16">
        <f>'M645'!J25</f>
        <v>140</v>
      </c>
      <c r="K19" s="16" t="str">
        <f>'M645'!K25</f>
        <v>43.5di</v>
      </c>
      <c r="L19" s="26">
        <f>'M645'!L25</f>
        <v>1300</v>
      </c>
      <c r="M19" s="35" t="str">
        <f>'M645'!M25</f>
        <v>.08-08</v>
      </c>
      <c r="N19" s="26">
        <f>'M645'!N25</f>
        <v>2208.3333333333335</v>
      </c>
      <c r="O19" s="35" t="str">
        <f>'M645'!O25</f>
        <v>.09-07</v>
      </c>
      <c r="P19" s="16">
        <f>'M645'!P25</f>
        <v>1995</v>
      </c>
      <c r="Q19" s="16" t="str">
        <f>'M645'!Q25</f>
        <v>.10-05</v>
      </c>
      <c r="R19" s="35" t="str">
        <f>'M645'!R25</f>
        <v>igor</v>
      </c>
      <c r="S19" s="16">
        <f>'M645'!S25</f>
        <v>2695</v>
      </c>
      <c r="T19" s="16" t="str">
        <f>'M645'!T25</f>
        <v>.10-01</v>
      </c>
      <c r="U19" s="35" t="str">
        <f>'M645'!U25</f>
        <v>b&amp;h</v>
      </c>
      <c r="V19" s="20"/>
      <c r="W19" s="155"/>
    </row>
    <row r="20" spans="1:23" ht="12" customHeight="1">
      <c r="A20" s="62" t="str">
        <f>A11</f>
        <v>Mamiya</v>
      </c>
      <c r="B20" s="11" t="str">
        <f>CONCATENATE(B11," + 1.4x")</f>
        <v>Mamiya A 200/2.8 APO + 1.4x</v>
      </c>
      <c r="C20" s="16">
        <f>C11*1.4</f>
        <v>280</v>
      </c>
      <c r="D20" s="48">
        <f>D11*1.4</f>
        <v>3.9199999999999995</v>
      </c>
      <c r="E20" s="16">
        <f>E11*1.4</f>
        <v>448</v>
      </c>
      <c r="F20" s="63" t="str">
        <f>F11</f>
        <v>M645</v>
      </c>
      <c r="G20" s="63">
        <f>G11</f>
        <v>2.5</v>
      </c>
      <c r="H20" s="48">
        <f>H11+EFp!H$61</f>
        <v>1.3</v>
      </c>
      <c r="I20" s="16">
        <f>I11+EFp!I461</f>
        <v>143.5</v>
      </c>
      <c r="J20" s="16">
        <f aca="true" t="shared" si="1" ref="J20:U20">J11</f>
        <v>91</v>
      </c>
      <c r="K20" s="16">
        <f t="shared" si="1"/>
        <v>77</v>
      </c>
      <c r="L20" s="26">
        <f t="shared" si="1"/>
        <v>496.55555555555554</v>
      </c>
      <c r="M20" s="35" t="str">
        <f t="shared" si="1"/>
        <v>.10-02</v>
      </c>
      <c r="N20" s="26">
        <f t="shared" si="1"/>
        <v>617.4</v>
      </c>
      <c r="O20" s="35" t="str">
        <f t="shared" si="1"/>
        <v>.09-10</v>
      </c>
      <c r="P20" s="16">
        <f t="shared" si="1"/>
        <v>645</v>
      </c>
      <c r="Q20" s="16" t="str">
        <f t="shared" si="1"/>
        <v>.10-02</v>
      </c>
      <c r="R20" s="35" t="str">
        <f t="shared" si="1"/>
        <v>keh</v>
      </c>
      <c r="S20" s="16">
        <f t="shared" si="1"/>
        <v>725</v>
      </c>
      <c r="T20" s="16" t="str">
        <f t="shared" si="1"/>
        <v>.09-10</v>
      </c>
      <c r="U20" s="35" t="str">
        <f t="shared" si="1"/>
        <v>keh</v>
      </c>
      <c r="V20" s="20"/>
      <c r="W20" s="155"/>
    </row>
    <row r="21" spans="1:23" ht="12" customHeight="1">
      <c r="A21" s="64" t="str">
        <f>EFp!A48</f>
        <v>Canon</v>
      </c>
      <c r="B21" s="23" t="str">
        <f>EFp!B48</f>
        <v>EF 300/4 L IS USM</v>
      </c>
      <c r="C21" s="28">
        <f>EFp!C48</f>
        <v>300</v>
      </c>
      <c r="D21" s="67">
        <f>EFp!D48</f>
        <v>4</v>
      </c>
      <c r="E21" s="28">
        <f>EFp!E48</f>
        <v>480</v>
      </c>
      <c r="F21" s="60" t="str">
        <f>EFp!F48</f>
        <v>EF</v>
      </c>
      <c r="G21" s="60">
        <f>EFp!G48</f>
        <v>1.5</v>
      </c>
      <c r="H21" s="67">
        <f>EFp!H48</f>
        <v>1.19</v>
      </c>
      <c r="I21" s="28">
        <f>EFp!I48</f>
        <v>221</v>
      </c>
      <c r="J21" s="28">
        <f>EFp!J48</f>
        <v>90</v>
      </c>
      <c r="K21" s="28">
        <f>EFp!K48</f>
        <v>77</v>
      </c>
      <c r="L21" s="27">
        <f>EFp!L48</f>
        <v>827.1</v>
      </c>
      <c r="M21" s="25" t="str">
        <f>EFp!M48</f>
        <v>.10-05</v>
      </c>
      <c r="N21" s="27">
        <f>EFp!N48</f>
        <v>968.75</v>
      </c>
      <c r="O21" s="37" t="str">
        <f>EFp!O48</f>
        <v>.10-05</v>
      </c>
      <c r="P21" s="28">
        <f>EFp!P48</f>
        <v>1080</v>
      </c>
      <c r="Q21" s="28" t="str">
        <f>EFp!Q48</f>
        <v>.10-05</v>
      </c>
      <c r="R21" s="37" t="str">
        <f>EFp!R48</f>
        <v>keh</v>
      </c>
      <c r="S21" s="28">
        <f>EFp!S48</f>
        <v>1150</v>
      </c>
      <c r="T21" s="28" t="str">
        <f>EFp!T48</f>
        <v>.10-05</v>
      </c>
      <c r="U21" s="37" t="str">
        <f>EFp!U48</f>
        <v>camW</v>
      </c>
      <c r="V21" s="20"/>
      <c r="W21" s="155"/>
    </row>
    <row r="23" spans="1:23" ht="12" customHeight="1">
      <c r="A23" s="62" t="str">
        <f>A12</f>
        <v>Canon</v>
      </c>
      <c r="B23" s="11" t="str">
        <f>CONCATENATE(B12," + 2x")</f>
        <v>EF 200/1.8 L USM + 2x</v>
      </c>
      <c r="C23" s="16">
        <f>C12*2</f>
        <v>400</v>
      </c>
      <c r="D23" s="48">
        <f>D12*2</f>
        <v>3.6</v>
      </c>
      <c r="E23" s="16">
        <f>E12*2</f>
        <v>640</v>
      </c>
      <c r="F23" s="63" t="str">
        <f>F12</f>
        <v>EF</v>
      </c>
      <c r="G23" s="63">
        <f>G12</f>
        <v>2.5</v>
      </c>
      <c r="H23" s="48">
        <f>H12+EFp!H64</f>
        <v>3.265</v>
      </c>
      <c r="I23" s="16">
        <f>I12+EFp!I64</f>
        <v>265.9</v>
      </c>
      <c r="J23" s="16">
        <f aca="true" t="shared" si="2" ref="J23:U23">J12</f>
        <v>129.5</v>
      </c>
      <c r="K23" s="16" t="str">
        <f t="shared" si="2"/>
        <v>48 di</v>
      </c>
      <c r="L23" s="26">
        <f t="shared" si="2"/>
        <v>3291</v>
      </c>
      <c r="M23" s="35" t="str">
        <f t="shared" si="2"/>
        <v>.10-05</v>
      </c>
      <c r="N23" s="26">
        <f t="shared" si="2"/>
        <v>3906.8571428571427</v>
      </c>
      <c r="O23" s="35" t="str">
        <f t="shared" si="2"/>
        <v>.10-05</v>
      </c>
      <c r="P23" s="16">
        <f t="shared" si="2"/>
        <v>4460</v>
      </c>
      <c r="Q23" s="16" t="str">
        <f t="shared" si="2"/>
        <v>.09-11</v>
      </c>
      <c r="R23" s="35" t="str">
        <f t="shared" si="2"/>
        <v>keh</v>
      </c>
      <c r="S23" s="16">
        <f t="shared" si="2"/>
        <v>5600</v>
      </c>
      <c r="T23" s="16" t="str">
        <f t="shared" si="2"/>
        <v>.08-05</v>
      </c>
      <c r="U23" s="35" t="str">
        <f t="shared" si="2"/>
        <v>keh</v>
      </c>
      <c r="V23" s="20"/>
      <c r="W23" s="155"/>
    </row>
    <row r="24" spans="1:23" ht="12" customHeight="1">
      <c r="A24" s="62" t="str">
        <f>A19</f>
        <v>Mamiya</v>
      </c>
      <c r="B24" s="11" t="str">
        <f>CONCATENATE(B19," + 1.4x")</f>
        <v>Mamiya A 300/2.8 APO + 1.4x</v>
      </c>
      <c r="C24" s="16">
        <f>C19*1.4</f>
        <v>420</v>
      </c>
      <c r="D24" s="48">
        <f>D19*1.4</f>
        <v>3.9199999999999995</v>
      </c>
      <c r="E24" s="16">
        <f>E19*1.4</f>
        <v>672</v>
      </c>
      <c r="F24" s="63" t="str">
        <f>F19</f>
        <v>M645</v>
      </c>
      <c r="G24" s="63">
        <f>G19</f>
        <v>3.5</v>
      </c>
      <c r="H24" s="48">
        <f>H19+EFp!H61</f>
        <v>2.9000000000000004</v>
      </c>
      <c r="I24" s="16">
        <f>I19+EFp!I61</f>
        <v>264.3</v>
      </c>
      <c r="J24" s="16">
        <f aca="true" t="shared" si="3" ref="J24:U24">J19</f>
        <v>140</v>
      </c>
      <c r="K24" s="16" t="str">
        <f t="shared" si="3"/>
        <v>43.5di</v>
      </c>
      <c r="L24" s="26">
        <f t="shared" si="3"/>
        <v>1300</v>
      </c>
      <c r="M24" s="35" t="str">
        <f t="shared" si="3"/>
        <v>.08-08</v>
      </c>
      <c r="N24" s="26">
        <f t="shared" si="3"/>
        <v>2208.3333333333335</v>
      </c>
      <c r="O24" s="35" t="str">
        <f t="shared" si="3"/>
        <v>.09-07</v>
      </c>
      <c r="P24" s="16">
        <f t="shared" si="3"/>
        <v>1995</v>
      </c>
      <c r="Q24" s="16" t="str">
        <f t="shared" si="3"/>
        <v>.10-05</v>
      </c>
      <c r="R24" s="35" t="str">
        <f t="shared" si="3"/>
        <v>igor</v>
      </c>
      <c r="S24" s="16">
        <f t="shared" si="3"/>
        <v>2695</v>
      </c>
      <c r="T24" s="16" t="str">
        <f t="shared" si="3"/>
        <v>.10-01</v>
      </c>
      <c r="U24" s="35" t="str">
        <f t="shared" si="3"/>
        <v>b&amp;h</v>
      </c>
      <c r="V24" s="20"/>
      <c r="W24" s="155"/>
    </row>
    <row r="25" spans="1:23" ht="12" customHeight="1">
      <c r="A25" s="62" t="str">
        <f>EFp!A52</f>
        <v>Canon</v>
      </c>
      <c r="B25" s="11" t="str">
        <f>EFp!B52</f>
        <v>EF 400/4 DO IS USM  </v>
      </c>
      <c r="C25" s="16">
        <f>EFp!C52</f>
        <v>400</v>
      </c>
      <c r="D25" s="48">
        <f>EFp!D52</f>
        <v>4</v>
      </c>
      <c r="E25" s="16">
        <f>EFp!E52</f>
        <v>640</v>
      </c>
      <c r="F25" s="63" t="str">
        <f>EFp!F52</f>
        <v>EF</v>
      </c>
      <c r="G25" s="63">
        <f>EFp!G52</f>
        <v>3.5</v>
      </c>
      <c r="H25" s="48">
        <f>EFp!H52</f>
        <v>1.94</v>
      </c>
      <c r="I25" s="16">
        <f>EFp!I52</f>
        <v>232.7</v>
      </c>
      <c r="J25" s="16">
        <f>EFp!J52</f>
        <v>128</v>
      </c>
      <c r="K25" s="16" t="str">
        <f>EFp!K52</f>
        <v>52 di</v>
      </c>
      <c r="L25" s="26">
        <f>EFp!L52</f>
        <v>3828.4444444444443</v>
      </c>
      <c r="M25" s="35" t="str">
        <f>EFp!M52</f>
        <v>.10-05</v>
      </c>
      <c r="N25" s="26">
        <f>EFp!N52</f>
        <v>4462.454545454545</v>
      </c>
      <c r="O25" s="35" t="str">
        <f>EFp!O52</f>
        <v>.10-05</v>
      </c>
      <c r="P25" s="16">
        <f>EFp!P52</f>
        <v>4700</v>
      </c>
      <c r="Q25" s="16" t="str">
        <f>EFp!Q52</f>
        <v>.09-12</v>
      </c>
      <c r="R25" s="35" t="str">
        <f>EFp!R52</f>
        <v>ado</v>
      </c>
      <c r="S25" s="16">
        <f>EFp!S52</f>
        <v>4940</v>
      </c>
      <c r="T25" s="16" t="str">
        <f>EFp!T52</f>
        <v>.09-10</v>
      </c>
      <c r="U25" s="35" t="str">
        <f>EFp!U52</f>
        <v>camtec</v>
      </c>
      <c r="V25" s="20"/>
      <c r="W25" s="155"/>
    </row>
    <row r="26" spans="1:23" ht="12" customHeight="1">
      <c r="A26" s="62" t="str">
        <f>A11</f>
        <v>Mamiya</v>
      </c>
      <c r="B26" s="11" t="str">
        <f>B11</f>
        <v>Mamiya A 200/2.8 APO</v>
      </c>
      <c r="C26" s="16">
        <f>C11*2</f>
        <v>400</v>
      </c>
      <c r="D26" s="48">
        <f>D11*2</f>
        <v>5.6</v>
      </c>
      <c r="E26" s="16">
        <f>E11*2</f>
        <v>640</v>
      </c>
      <c r="F26" s="63" t="str">
        <f>F11</f>
        <v>M645</v>
      </c>
      <c r="G26" s="63">
        <f>G11</f>
        <v>2.5</v>
      </c>
      <c r="H26" s="48">
        <f>H11+EFp!H64</f>
        <v>1.3650000000000002</v>
      </c>
      <c r="I26" s="16">
        <f>I11+EFp!I64</f>
        <v>201.4</v>
      </c>
      <c r="J26" s="16">
        <f aca="true" t="shared" si="4" ref="J26:U26">J11</f>
        <v>91</v>
      </c>
      <c r="K26" s="16">
        <f t="shared" si="4"/>
        <v>77</v>
      </c>
      <c r="L26" s="26">
        <f t="shared" si="4"/>
        <v>496.55555555555554</v>
      </c>
      <c r="M26" s="35" t="str">
        <f t="shared" si="4"/>
        <v>.10-02</v>
      </c>
      <c r="N26" s="26">
        <f t="shared" si="4"/>
        <v>617.4</v>
      </c>
      <c r="O26" s="35" t="str">
        <f t="shared" si="4"/>
        <v>.09-10</v>
      </c>
      <c r="P26" s="16">
        <f t="shared" si="4"/>
        <v>645</v>
      </c>
      <c r="Q26" s="16" t="str">
        <f t="shared" si="4"/>
        <v>.10-02</v>
      </c>
      <c r="R26" s="35" t="str">
        <f t="shared" si="4"/>
        <v>keh</v>
      </c>
      <c r="S26" s="16">
        <f t="shared" si="4"/>
        <v>725</v>
      </c>
      <c r="T26" s="16" t="str">
        <f t="shared" si="4"/>
        <v>.09-10</v>
      </c>
      <c r="U26" s="35" t="str">
        <f t="shared" si="4"/>
        <v>keh</v>
      </c>
      <c r="V26" s="20"/>
      <c r="W26" s="155"/>
    </row>
    <row r="27" spans="1:23" ht="12" customHeight="1">
      <c r="A27" s="64" t="str">
        <f aca="true" t="shared" si="5" ref="A27:U27">A21</f>
        <v>Canon</v>
      </c>
      <c r="B27" s="23" t="str">
        <f>CONCATENATE(B21," + 1.4x")</f>
        <v>EF 300/4 L IS USM + 1.4x</v>
      </c>
      <c r="C27" s="28">
        <f>C21*1.4</f>
        <v>420</v>
      </c>
      <c r="D27" s="67">
        <f>D21*1.4</f>
        <v>5.6</v>
      </c>
      <c r="E27" s="28">
        <f>E21*1.4</f>
        <v>672</v>
      </c>
      <c r="F27" s="60" t="str">
        <f t="shared" si="5"/>
        <v>EF</v>
      </c>
      <c r="G27" s="60">
        <f t="shared" si="5"/>
        <v>1.5</v>
      </c>
      <c r="H27" s="67">
        <f>H21+EFp!H61</f>
        <v>1.39</v>
      </c>
      <c r="I27" s="28">
        <f>I21+EFp!I61</f>
        <v>248.3</v>
      </c>
      <c r="J27" s="28">
        <f t="shared" si="5"/>
        <v>90</v>
      </c>
      <c r="K27" s="28">
        <f t="shared" si="5"/>
        <v>77</v>
      </c>
      <c r="L27" s="27">
        <f t="shared" si="5"/>
        <v>827.1</v>
      </c>
      <c r="M27" s="25" t="str">
        <f t="shared" si="5"/>
        <v>.10-05</v>
      </c>
      <c r="N27" s="27">
        <f t="shared" si="5"/>
        <v>968.75</v>
      </c>
      <c r="O27" s="37" t="str">
        <f t="shared" si="5"/>
        <v>.10-05</v>
      </c>
      <c r="P27" s="28">
        <f t="shared" si="5"/>
        <v>1080</v>
      </c>
      <c r="Q27" s="28" t="str">
        <f t="shared" si="5"/>
        <v>.10-05</v>
      </c>
      <c r="R27" s="37" t="str">
        <f t="shared" si="5"/>
        <v>keh</v>
      </c>
      <c r="S27" s="28">
        <f t="shared" si="5"/>
        <v>1150</v>
      </c>
      <c r="T27" s="28" t="str">
        <f t="shared" si="5"/>
        <v>.10-05</v>
      </c>
      <c r="U27" s="37" t="str">
        <f t="shared" si="5"/>
        <v>camW</v>
      </c>
      <c r="V27" s="20"/>
      <c r="W27" s="155"/>
    </row>
    <row r="28" spans="1:23" ht="12" customHeight="1">
      <c r="A28" s="19"/>
      <c r="B28" s="19"/>
      <c r="C28" s="19"/>
      <c r="D28" s="48"/>
      <c r="E28" s="19"/>
      <c r="F28" s="19"/>
      <c r="G28" s="19"/>
      <c r="H28" s="19"/>
      <c r="I28" s="19"/>
      <c r="J28" s="19"/>
      <c r="K28" s="19"/>
      <c r="L28" s="19"/>
      <c r="M28" s="19"/>
      <c r="N28" s="19"/>
      <c r="O28" s="19"/>
      <c r="P28" s="19"/>
      <c r="Q28" s="19"/>
      <c r="R28" s="19"/>
      <c r="S28" s="19"/>
      <c r="T28" s="19"/>
      <c r="U28" s="19"/>
      <c r="V28" s="20"/>
      <c r="W28" s="155"/>
    </row>
    <row r="29" spans="1:23" ht="12" customHeight="1">
      <c r="A29" s="62" t="str">
        <f>EFp!A54</f>
        <v>Canon</v>
      </c>
      <c r="B29" s="11" t="str">
        <f>EFp!B54</f>
        <v>EF 500/4 L IS USM       </v>
      </c>
      <c r="C29" s="16">
        <f>EFp!C54</f>
        <v>500</v>
      </c>
      <c r="D29" s="48">
        <f>EFp!D54</f>
        <v>4</v>
      </c>
      <c r="E29" s="16">
        <f>EFp!E54</f>
        <v>800</v>
      </c>
      <c r="F29" s="63" t="str">
        <f>EFp!F54</f>
        <v>EF</v>
      </c>
      <c r="G29" s="63">
        <f>EFp!G54</f>
        <v>4.5</v>
      </c>
      <c r="H29" s="48">
        <f>EFp!H54</f>
        <v>3.87</v>
      </c>
      <c r="I29" s="16">
        <f>EFp!I54</f>
        <v>387</v>
      </c>
      <c r="J29" s="16">
        <f>EFp!J54</f>
        <v>146</v>
      </c>
      <c r="K29" s="16" t="str">
        <f>EFp!K54</f>
        <v>52 di</v>
      </c>
      <c r="L29" s="26">
        <f>EFp!L54</f>
        <v>4486.625</v>
      </c>
      <c r="M29" s="35" t="str">
        <f>EFp!M54</f>
        <v>.09-07</v>
      </c>
      <c r="N29" s="26">
        <f>EFp!N54</f>
        <v>5095.625</v>
      </c>
      <c r="O29" s="35" t="str">
        <f>EFp!O54</f>
        <v>.10-05</v>
      </c>
      <c r="P29" s="16">
        <f>EFp!P54</f>
        <v>4850</v>
      </c>
      <c r="Q29" s="16" t="str">
        <f>EFp!Q54</f>
        <v>.09-03</v>
      </c>
      <c r="R29" s="35" t="str">
        <f>EFp!R54</f>
        <v>ado</v>
      </c>
      <c r="S29" s="16">
        <f>EFp!S54</f>
        <v>5200</v>
      </c>
      <c r="T29" s="16" t="str">
        <f>EFp!T54</f>
        <v>.09-02</v>
      </c>
      <c r="U29" s="35" t="str">
        <f>EFp!U54</f>
        <v>keh</v>
      </c>
      <c r="V29" s="20"/>
      <c r="W29" s="155"/>
    </row>
    <row r="30" spans="1:23" ht="12" customHeight="1">
      <c r="A30" s="62" t="str">
        <f>LNOP!A64</f>
        <v>Nikon</v>
      </c>
      <c r="B30" s="11" t="str">
        <f>LNOP!B64</f>
        <v>Nikkor ED 500/4 P</v>
      </c>
      <c r="C30" s="16">
        <f>LNOP!C64</f>
        <v>500</v>
      </c>
      <c r="D30" s="48">
        <f>LNOP!D64</f>
        <v>4</v>
      </c>
      <c r="E30" s="16">
        <f>LNOP!E64</f>
        <v>800</v>
      </c>
      <c r="F30" s="63" t="str">
        <f>LNOP!F64</f>
        <v>AIS</v>
      </c>
      <c r="G30" s="63">
        <f>LNOP!G64</f>
        <v>5</v>
      </c>
      <c r="H30" s="48">
        <f>LNOP!H64</f>
        <v>3</v>
      </c>
      <c r="I30" s="16">
        <f>LNOP!I64</f>
        <v>384</v>
      </c>
      <c r="J30" s="16">
        <f>LNOP!J64</f>
        <v>138</v>
      </c>
      <c r="K30" s="16" t="str">
        <f>LNOP!K64</f>
        <v>39 di</v>
      </c>
      <c r="L30" s="26">
        <f>LNOP!L64</f>
        <v>2141</v>
      </c>
      <c r="M30" s="35" t="str">
        <f>LNOP!M64</f>
        <v>.10-05</v>
      </c>
      <c r="N30" s="26">
        <f>LNOP!N64</f>
        <v>2753.5</v>
      </c>
      <c r="O30" s="35" t="str">
        <f>LNOP!O64</f>
        <v>.10-05</v>
      </c>
      <c r="P30" s="16">
        <f>LNOP!P64</f>
        <v>2370</v>
      </c>
      <c r="Q30" s="16" t="str">
        <f>LNOP!Q64</f>
        <v>.07-10</v>
      </c>
      <c r="R30" s="35" t="str">
        <f>LNOP!R64</f>
        <v>keh</v>
      </c>
      <c r="S30" s="16">
        <f>LNOP!S64</f>
        <v>3250</v>
      </c>
      <c r="T30" s="16" t="str">
        <f>LNOP!T64</f>
        <v>.10-05</v>
      </c>
      <c r="U30" s="35" t="str">
        <f>LNOP!U64</f>
        <v>keh</v>
      </c>
      <c r="V30" s="20"/>
      <c r="W30" s="155"/>
    </row>
    <row r="31" spans="1:23" ht="12" customHeight="1">
      <c r="A31" s="62" t="str">
        <f>LNOP!A123</f>
        <v>Pentax</v>
      </c>
      <c r="B31" s="11" t="str">
        <f>LNOP!B123</f>
        <v>SMC Pentax 500/4.5 (ma)</v>
      </c>
      <c r="C31" s="16">
        <f>LNOP!C123</f>
        <v>500</v>
      </c>
      <c r="D31" s="48">
        <f>LNOP!D123</f>
        <v>4.5</v>
      </c>
      <c r="E31" s="16">
        <f>LNOP!E123</f>
        <v>800</v>
      </c>
      <c r="F31" s="63" t="str">
        <f>LNOP!F123</f>
        <v>K</v>
      </c>
      <c r="G31" s="63">
        <f>LNOP!G123</f>
        <v>10</v>
      </c>
      <c r="H31" s="48">
        <f>LNOP!H123</f>
        <v>3.37</v>
      </c>
      <c r="I31" s="16">
        <f>LNOP!I123</f>
        <v>440</v>
      </c>
      <c r="J31" s="16">
        <f>LNOP!J123</f>
        <v>127</v>
      </c>
      <c r="K31" s="16">
        <f>LNOP!K123</f>
        <v>52</v>
      </c>
      <c r="L31" s="26">
        <f>LNOP!L123</f>
        <v>626.2857142857143</v>
      </c>
      <c r="M31" s="35" t="str">
        <f>LNOP!M123</f>
        <v>.09-06</v>
      </c>
      <c r="N31" s="26">
        <f>LNOP!N123</f>
        <v>863.25</v>
      </c>
      <c r="O31" s="35" t="str">
        <f>LNOP!O123</f>
        <v>.07-09</v>
      </c>
      <c r="P31" s="16" t="str">
        <f>LNOP!P123</f>
        <v> </v>
      </c>
      <c r="Q31" s="16" t="str">
        <f>LNOP!Q123</f>
        <v> </v>
      </c>
      <c r="R31" s="35" t="str">
        <f>LNOP!R123</f>
        <v> </v>
      </c>
      <c r="S31" s="16" t="str">
        <f>LNOP!S123</f>
        <v> </v>
      </c>
      <c r="T31" s="16" t="str">
        <f>LNOP!T123</f>
        <v> </v>
      </c>
      <c r="U31" s="35" t="str">
        <f>LNOP!U123</f>
        <v> </v>
      </c>
      <c r="V31" s="20"/>
      <c r="W31" s="155"/>
    </row>
    <row r="32" spans="1:23" ht="12" customHeight="1">
      <c r="A32" s="64" t="str">
        <f>EFp!A55</f>
        <v>Canon</v>
      </c>
      <c r="B32" s="23" t="str">
        <f>EFp!B55</f>
        <v>EF 500/4.5 L USM          </v>
      </c>
      <c r="C32" s="28">
        <f>EFp!C55</f>
        <v>500</v>
      </c>
      <c r="D32" s="67">
        <f>EFp!D55</f>
        <v>4.5</v>
      </c>
      <c r="E32" s="28">
        <f>EFp!E55</f>
        <v>800</v>
      </c>
      <c r="F32" s="60" t="str">
        <f>EFp!F55</f>
        <v>EF</v>
      </c>
      <c r="G32" s="60">
        <f>EFp!G55</f>
        <v>5</v>
      </c>
      <c r="H32" s="67">
        <f>EFp!H55</f>
        <v>3</v>
      </c>
      <c r="I32" s="28">
        <f>EFp!I55</f>
        <v>390</v>
      </c>
      <c r="J32" s="28">
        <f>EFp!J55</f>
        <v>130</v>
      </c>
      <c r="K32" s="28" t="str">
        <f>EFp!K55</f>
        <v>48 di</v>
      </c>
      <c r="L32" s="27">
        <f>EFp!L55</f>
        <v>3015.8888888888887</v>
      </c>
      <c r="M32" s="25" t="str">
        <f>EFp!M55</f>
        <v>.09-12</v>
      </c>
      <c r="N32" s="27">
        <f>EFp!N55</f>
        <v>3619.8</v>
      </c>
      <c r="O32" s="37" t="str">
        <f>EFp!O55</f>
        <v>.09-06</v>
      </c>
      <c r="P32" s="28">
        <f>EFp!P55</f>
        <v>4300</v>
      </c>
      <c r="Q32" s="28" t="str">
        <f>EFp!Q55</f>
        <v>.10-05</v>
      </c>
      <c r="R32" s="37" t="str">
        <f>EFp!R55</f>
        <v>keh</v>
      </c>
      <c r="S32" s="28">
        <f>EFp!S55</f>
        <v>3500</v>
      </c>
      <c r="T32" s="28" t="str">
        <f>EFp!T55</f>
        <v>.09-08</v>
      </c>
      <c r="U32" s="37" t="str">
        <f>EFp!U55</f>
        <v>ado</v>
      </c>
      <c r="V32" s="20"/>
      <c r="W32" s="155"/>
    </row>
    <row r="33" spans="1:25" ht="12" customHeight="1">
      <c r="A33" s="19"/>
      <c r="B33" s="19"/>
      <c r="C33" s="19"/>
      <c r="D33" s="48"/>
      <c r="E33" s="19"/>
      <c r="F33" s="19"/>
      <c r="G33" s="19"/>
      <c r="H33" s="19"/>
      <c r="I33" s="19"/>
      <c r="J33" s="19"/>
      <c r="K33" s="19"/>
      <c r="L33" s="19"/>
      <c r="M33" s="19"/>
      <c r="N33" s="19"/>
      <c r="O33" s="19"/>
      <c r="P33" s="19"/>
      <c r="Q33" s="19"/>
      <c r="R33" s="19"/>
      <c r="S33" s="19"/>
      <c r="T33" s="19"/>
      <c r="U33" s="19"/>
      <c r="V33" s="19"/>
      <c r="W33" s="19"/>
      <c r="X33" s="19"/>
      <c r="Y33" s="19"/>
    </row>
    <row r="34" spans="1:23" ht="12" customHeight="1">
      <c r="A34" s="64" t="str">
        <f>A19</f>
        <v>Mamiya</v>
      </c>
      <c r="B34" s="23" t="str">
        <f>CONCATENATE(B19," + 2x")</f>
        <v>Mamiya A 300/2.8 APO + 2x</v>
      </c>
      <c r="C34" s="28">
        <f>C19*2</f>
        <v>600</v>
      </c>
      <c r="D34" s="67">
        <f>D19*2</f>
        <v>5.6</v>
      </c>
      <c r="E34" s="28">
        <f>E19*2</f>
        <v>960</v>
      </c>
      <c r="F34" s="60" t="str">
        <f>F19</f>
        <v>M645</v>
      </c>
      <c r="G34" s="60">
        <f>G19</f>
        <v>3.5</v>
      </c>
      <c r="H34" s="67">
        <f>H19+EFp!H64</f>
        <v>2.9650000000000003</v>
      </c>
      <c r="I34" s="28">
        <f>I19+EFp!I64</f>
        <v>294.9</v>
      </c>
      <c r="J34" s="28">
        <f aca="true" t="shared" si="6" ref="J34:U34">J19</f>
        <v>140</v>
      </c>
      <c r="K34" s="28" t="str">
        <f t="shared" si="6"/>
        <v>43.5di</v>
      </c>
      <c r="L34" s="27">
        <f t="shared" si="6"/>
        <v>1300</v>
      </c>
      <c r="M34" s="25" t="str">
        <f t="shared" si="6"/>
        <v>.08-08</v>
      </c>
      <c r="N34" s="27">
        <f t="shared" si="6"/>
        <v>2208.3333333333335</v>
      </c>
      <c r="O34" s="37" t="str">
        <f t="shared" si="6"/>
        <v>.09-07</v>
      </c>
      <c r="P34" s="28">
        <f t="shared" si="6"/>
        <v>1995</v>
      </c>
      <c r="Q34" s="28" t="str">
        <f t="shared" si="6"/>
        <v>.10-05</v>
      </c>
      <c r="R34" s="37" t="str">
        <f t="shared" si="6"/>
        <v>igor</v>
      </c>
      <c r="S34" s="28">
        <f t="shared" si="6"/>
        <v>2695</v>
      </c>
      <c r="T34" s="28" t="str">
        <f t="shared" si="6"/>
        <v>.10-01</v>
      </c>
      <c r="U34" s="37" t="str">
        <f t="shared" si="6"/>
        <v>b&amp;h</v>
      </c>
      <c r="V34" s="20"/>
      <c r="W34" s="155"/>
    </row>
  </sheetData>
  <conditionalFormatting sqref="T34 M34 O34 Q34 M32 O32 Q29:Q32 T29:T32 O11 M11 M8 M15:M16 O15:O16 Q7:Q8 T7:T8 O8 T10:T21 M21 O21 Q10:Q21 M27 O27 Q23:Q27 T23:T27">
    <cfRule type="cellIs" priority="1" dxfId="0" operator="lessThan" stopIfTrue="1">
      <formula>".06-10"</formula>
    </cfRule>
  </conditionalFormatting>
  <printOptions/>
  <pageMargins left="0.3" right="0" top="0.5" bottom="0" header="0.590551181102362" footer="0.511811023622047"/>
  <pageSetup horizontalDpi="600" verticalDpi="600" orientation="landscape" r:id="rId1"/>
  <headerFooter alignWithMargins="0">
    <oddHeader>&amp;R&amp;9(&amp;P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DRDC Atlantic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 Colwell</dc:creator>
  <cp:keywords/>
  <dc:description/>
  <cp:lastModifiedBy>James Colwell</cp:lastModifiedBy>
  <cp:lastPrinted>2010-06-06T18:21:07Z</cp:lastPrinted>
  <dcterms:created xsi:type="dcterms:W3CDTF">2006-02-03T12:48:50Z</dcterms:created>
  <dcterms:modified xsi:type="dcterms:W3CDTF">2010-06-06T18:24:45Z</dcterms:modified>
  <cp:category/>
  <cp:version/>
  <cp:contentType/>
  <cp:contentStatus/>
</cp:coreProperties>
</file>